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ulie\Desktop\"/>
    </mc:Choice>
  </mc:AlternateContent>
  <bookViews>
    <workbookView xWindow="-15" yWindow="30" windowWidth="18495" windowHeight="9435" tabRatio="786" firstSheet="10" activeTab="15"/>
  </bookViews>
  <sheets>
    <sheet name="General Instructions " sheetId="26" r:id="rId1"/>
    <sheet name="Crit 1 &amp; 2" sheetId="19" r:id="rId2"/>
    <sheet name="Crit 1 &amp; 2 - Table 1 Sample" sheetId="37" r:id="rId3"/>
    <sheet name="Crit 3 - Overview" sheetId="23" r:id="rId4"/>
    <sheet name="Crit 3 - Yr6 Table  2 Progress" sheetId="39" r:id="rId5"/>
    <sheet name="Crit 3 -Tbl 3 for Non-MEI Users" sheetId="15" r:id="rId6"/>
    <sheet name="Crit 3 - ECMs" sheetId="32" r:id="rId7"/>
    <sheet name="Crit 3 - Table 4 ECMs" sheetId="4" r:id="rId8"/>
    <sheet name="Crit 3 - Tbl 4 ECMs SAMPLE Data" sheetId="14" r:id="rId9"/>
    <sheet name="Crit 3 - Table 5 RE" sheetId="18" r:id="rId10"/>
    <sheet name="Crit 4 - Vehicle Policies" sheetId="30" r:id="rId11"/>
    <sheet name="Crit 4 - Table 6 Vehicle Inv." sheetId="38" r:id="rId12"/>
    <sheet name="Crit 4 - Table 6 SAMPLE" sheetId="20" r:id="rId13"/>
    <sheet name="Crit 5 - Table 7 " sheetId="21" r:id="rId14"/>
    <sheet name="Other Notes" sheetId="24" r:id="rId15"/>
    <sheet name="RE Guidance" sheetId="29" r:id="rId16"/>
    <sheet name="DOER reference" sheetId="28" state="hidden" r:id="rId17"/>
    <sheet name="Reference" sheetId="36" state="hidden" r:id="rId18"/>
    <sheet name="Sheet1" sheetId="40" r:id="rId19"/>
  </sheets>
  <externalReferences>
    <externalReference r:id="rId20"/>
    <externalReference r:id="rId21"/>
  </externalReferences>
  <definedNames>
    <definedName name="_xlnm._FilterDatabase" localSheetId="10" hidden="1">'Crit 4 - Vehicle Policies'!#REF!</definedName>
    <definedName name="CY_2000" localSheetId="2">[1]source!#REF!</definedName>
    <definedName name="CY_2000" localSheetId="4">[1]source!#REF!</definedName>
    <definedName name="CY_2000" localSheetId="11">[1]source!#REF!</definedName>
    <definedName name="CY_2000">[1]source!#REF!</definedName>
    <definedName name="ECMs">'Crit 3 - ECMs'!$C$5:$C$18</definedName>
    <definedName name="ECMstatus">'Crit 3 - ECMs'!$C$21:$C$24</definedName>
    <definedName name="FY_2000" localSheetId="2">[1]source!#REF!</definedName>
    <definedName name="FY_2000" localSheetId="4">[1]source!#REF!</definedName>
    <definedName name="FY_2000" localSheetId="11">[1]source!#REF!</definedName>
    <definedName name="FY_2000">[1]source!#REF!</definedName>
    <definedName name="FY_2001" localSheetId="2">[1]source!#REF!</definedName>
    <definedName name="FY_2001" localSheetId="4">[1]source!#REF!</definedName>
    <definedName name="FY_2001" localSheetId="11">[1]source!#REF!</definedName>
    <definedName name="FY_2001">[1]source!#REF!</definedName>
    <definedName name="GalDiesel_MMBTU">Reference!$A$10</definedName>
    <definedName name="GalFuelOil_MMBTU">Reference!$A$7</definedName>
    <definedName name="GalGasoline_MMBTU">Reference!$A$9</definedName>
    <definedName name="GalPropane_MMBTU">Reference!$A$8</definedName>
    <definedName name="gg">'[2]DOER reference'!$E$1:$E$3</definedName>
    <definedName name="kwh_MMBTU">Reference!$A$5</definedName>
    <definedName name="ListDriveSystem">'DOER reference'!$G$1:$G$4</definedName>
    <definedName name="ListExempt">'DOER reference'!$I$1:$I$3</definedName>
    <definedName name="ListOver8500">'DOER reference'!$H$1:$H$4</definedName>
    <definedName name="ListStretch">'DOER reference'!$J$1:$J$4</definedName>
    <definedName name="ListYN">'DOER reference'!$E$1:$E$3</definedName>
    <definedName name="_xlnm.Print_Area" localSheetId="7">'Crit 3 - Table 4 ECMs'!$D$3:$T$39</definedName>
    <definedName name="_xlnm.Print_Area" localSheetId="8">'Crit 3 - Tbl 4 ECMs SAMPLE Data'!$C$4:$T$19</definedName>
    <definedName name="_xlnm.Print_Area" localSheetId="5">'Crit 3 -Tbl 3 for Non-MEI Users'!$C$6:$T$20</definedName>
    <definedName name="therms_MMBTU">Reference!$A$6</definedName>
    <definedName name="year">[1]source!$A$2:$A$29</definedName>
    <definedName name="Years">'DOER reference'!$F$1:$F$16</definedName>
  </definedNames>
  <calcPr calcId="152511" iterateDelta="1E-4"/>
</workbook>
</file>

<file path=xl/calcChain.xml><?xml version="1.0" encoding="utf-8"?>
<calcChain xmlns="http://schemas.openxmlformats.org/spreadsheetml/2006/main">
  <c r="S18" i="4" l="1"/>
  <c r="Q24" i="4" l="1"/>
  <c r="S21" i="4"/>
  <c r="Q22" i="4"/>
  <c r="L38" i="4"/>
  <c r="M38" i="4"/>
  <c r="N38" i="4"/>
  <c r="S15" i="4"/>
  <c r="J34" i="4"/>
  <c r="J38" i="4" s="1"/>
  <c r="K34" i="4"/>
  <c r="O34" i="4"/>
  <c r="P34" i="4" s="1"/>
  <c r="S34" i="4" s="1"/>
  <c r="S33" i="4"/>
  <c r="K33" i="4"/>
  <c r="S32" i="4"/>
  <c r="S31" i="4"/>
  <c r="K31" i="4"/>
  <c r="K38" i="4" s="1"/>
  <c r="S30" i="4"/>
  <c r="O30" i="4"/>
  <c r="R17" i="4"/>
  <c r="P17" i="4"/>
  <c r="P38" i="4" s="1"/>
  <c r="O17" i="4"/>
  <c r="I17" i="4"/>
  <c r="Q16" i="4"/>
  <c r="S16" i="4" s="1"/>
  <c r="S26" i="4"/>
  <c r="S14" i="4"/>
  <c r="S13" i="4"/>
  <c r="I12" i="4"/>
  <c r="S11" i="4"/>
  <c r="R10" i="4"/>
  <c r="S9" i="4"/>
  <c r="S8" i="4"/>
  <c r="S7" i="4"/>
  <c r="R38" i="4" l="1"/>
  <c r="O38" i="4"/>
  <c r="I38" i="4"/>
  <c r="I39" i="4" s="1"/>
  <c r="S17" i="4"/>
  <c r="Q10" i="4"/>
  <c r="Q38" i="4" s="1"/>
  <c r="S10" i="4" l="1"/>
  <c r="S38" i="4" s="1"/>
  <c r="J39" i="4" l="1"/>
  <c r="K39" i="4"/>
  <c r="L39" i="4"/>
  <c r="M39" i="4"/>
  <c r="N39" i="4"/>
  <c r="G39" i="4" l="1"/>
  <c r="L12" i="39" l="1"/>
  <c r="I13" i="39" l="1"/>
  <c r="G40" i="4" s="1"/>
  <c r="E13" i="39"/>
  <c r="F13" i="39"/>
  <c r="G13" i="39"/>
  <c r="H13" i="39"/>
  <c r="D13" i="39"/>
  <c r="J7" i="18"/>
  <c r="N7" i="18" s="1"/>
  <c r="L9" i="39"/>
  <c r="L10" i="39"/>
  <c r="L11" i="39"/>
  <c r="L8" i="39"/>
  <c r="L13" i="39" l="1"/>
  <c r="K17" i="14"/>
  <c r="L17" i="14"/>
  <c r="M17" i="14"/>
  <c r="K14" i="14"/>
  <c r="L14" i="14"/>
  <c r="M14" i="14"/>
  <c r="K12" i="14"/>
  <c r="L12" i="14"/>
  <c r="L18" i="14" s="1"/>
  <c r="L19" i="14" s="1"/>
  <c r="M10" i="14"/>
  <c r="C7" i="15"/>
  <c r="K18" i="14" l="1"/>
  <c r="K19" i="14" s="1"/>
  <c r="E66" i="36"/>
  <c r="E65" i="36"/>
  <c r="E64" i="36"/>
  <c r="B64" i="36"/>
  <c r="C64" i="36" s="1"/>
  <c r="E63" i="36"/>
  <c r="E62" i="36"/>
  <c r="B62" i="36"/>
  <c r="C62" i="36" s="1"/>
  <c r="E61" i="36"/>
  <c r="B61" i="36"/>
  <c r="C61" i="36" s="1"/>
  <c r="E60" i="36"/>
  <c r="B60" i="36"/>
  <c r="C60" i="36" s="1"/>
  <c r="E59" i="36"/>
  <c r="B59" i="36"/>
  <c r="C59" i="36" s="1"/>
  <c r="E58" i="36"/>
  <c r="E57" i="36"/>
  <c r="E56" i="36"/>
  <c r="B56" i="36"/>
  <c r="C56" i="36" s="1"/>
  <c r="E55" i="36"/>
  <c r="B55" i="36"/>
  <c r="C55" i="36" s="1"/>
  <c r="E54" i="36"/>
  <c r="B54" i="36"/>
  <c r="C54" i="36" s="1"/>
  <c r="E53" i="36"/>
  <c r="B53" i="36"/>
  <c r="C53" i="36" s="1"/>
  <c r="E52" i="36"/>
  <c r="B52" i="36"/>
  <c r="C52" i="36" s="1"/>
  <c r="E51" i="36"/>
  <c r="B51" i="36"/>
  <c r="C51" i="36" s="1"/>
  <c r="E49" i="36"/>
  <c r="E48" i="36"/>
  <c r="E47" i="36"/>
  <c r="E46" i="36"/>
  <c r="E45" i="36"/>
  <c r="B45" i="36"/>
  <c r="C45" i="36" s="1"/>
  <c r="E44" i="36"/>
  <c r="B44" i="36"/>
  <c r="C44" i="36" s="1"/>
  <c r="E43" i="36"/>
  <c r="B43" i="36"/>
  <c r="C43" i="36" s="1"/>
  <c r="E42" i="36"/>
  <c r="E41" i="36"/>
  <c r="B41" i="36"/>
  <c r="B42" i="36" s="1"/>
  <c r="C42" i="36" s="1"/>
  <c r="E40" i="36"/>
  <c r="E39" i="36"/>
  <c r="E38" i="36"/>
  <c r="E37" i="36"/>
  <c r="E36" i="36"/>
  <c r="E35" i="36"/>
  <c r="E34" i="36"/>
  <c r="E33" i="36"/>
  <c r="E32" i="36"/>
  <c r="E31" i="36"/>
  <c r="E30" i="36"/>
  <c r="E29" i="36"/>
  <c r="E28" i="36"/>
  <c r="E27" i="36"/>
  <c r="E26" i="36"/>
  <c r="E25" i="36"/>
  <c r="E24" i="36"/>
  <c r="E23" i="36"/>
  <c r="E22" i="36"/>
  <c r="E21" i="36"/>
  <c r="E20" i="36"/>
  <c r="E19" i="36"/>
  <c r="E18" i="36"/>
  <c r="E17" i="36"/>
  <c r="E16" i="36"/>
  <c r="E15" i="36"/>
  <c r="E14" i="36"/>
  <c r="S19" i="15"/>
  <c r="S18" i="15"/>
  <c r="S17" i="15"/>
  <c r="S16" i="15"/>
  <c r="S15" i="15"/>
  <c r="S12" i="15"/>
  <c r="S13" i="15"/>
  <c r="S11" i="15"/>
  <c r="Q16" i="15"/>
  <c r="Q17" i="15"/>
  <c r="Q18" i="15"/>
  <c r="Q19" i="15"/>
  <c r="Q15" i="15"/>
  <c r="Q12" i="15"/>
  <c r="Q13" i="15"/>
  <c r="Q11" i="15"/>
  <c r="O19" i="15"/>
  <c r="O18" i="15"/>
  <c r="O17" i="15"/>
  <c r="O16" i="15"/>
  <c r="O15" i="15"/>
  <c r="O12" i="15"/>
  <c r="O13" i="15"/>
  <c r="O11" i="15"/>
  <c r="M19" i="15"/>
  <c r="M18" i="15"/>
  <c r="M17" i="15"/>
  <c r="M16" i="15"/>
  <c r="M15" i="15"/>
  <c r="M12" i="15"/>
  <c r="M13" i="15"/>
  <c r="M11" i="15"/>
  <c r="K19" i="15"/>
  <c r="K18" i="15"/>
  <c r="K17" i="15"/>
  <c r="K16" i="15"/>
  <c r="K15" i="15"/>
  <c r="K12" i="15"/>
  <c r="K13" i="15"/>
  <c r="K11" i="15"/>
  <c r="I19" i="15"/>
  <c r="I18" i="15"/>
  <c r="I17" i="15"/>
  <c r="I16" i="15"/>
  <c r="I15" i="15"/>
  <c r="I12" i="15"/>
  <c r="I13" i="15"/>
  <c r="I11" i="15"/>
  <c r="G19" i="15"/>
  <c r="G18" i="15"/>
  <c r="G17" i="15"/>
  <c r="G16" i="15"/>
  <c r="G15" i="15"/>
  <c r="G12" i="15"/>
  <c r="G13" i="15"/>
  <c r="G11" i="15"/>
  <c r="E19" i="15"/>
  <c r="E18" i="15"/>
  <c r="E17" i="15"/>
  <c r="E16" i="15"/>
  <c r="E15" i="15"/>
  <c r="E12" i="15"/>
  <c r="E13" i="15"/>
  <c r="E11" i="15"/>
  <c r="C41" i="36" l="1"/>
  <c r="I10" i="14" l="1"/>
  <c r="H10" i="14"/>
  <c r="K8" i="18"/>
  <c r="L8" i="18"/>
  <c r="M8" i="18"/>
  <c r="N8" i="18"/>
  <c r="O8" i="18"/>
  <c r="P8" i="18"/>
  <c r="Q8" i="18"/>
  <c r="R8" i="18"/>
  <c r="J8" i="18"/>
  <c r="J9" i="18" s="1"/>
  <c r="H9" i="18" s="1"/>
  <c r="E14" i="15"/>
  <c r="T15" i="15"/>
  <c r="D14" i="15"/>
  <c r="D20" i="15" s="1"/>
  <c r="E20" i="15" s="1"/>
  <c r="F14" i="15"/>
  <c r="F20" i="15" s="1"/>
  <c r="G20" i="15" s="1"/>
  <c r="H14" i="15"/>
  <c r="H20" i="15" s="1"/>
  <c r="I20" i="15" s="1"/>
  <c r="J14" i="15"/>
  <c r="J20" i="15" s="1"/>
  <c r="K20" i="15" s="1"/>
  <c r="L14" i="15"/>
  <c r="L20" i="15" s="1"/>
  <c r="M20" i="15" s="1"/>
  <c r="N14" i="15"/>
  <c r="N20" i="15" s="1"/>
  <c r="O20" i="15" s="1"/>
  <c r="P14" i="15"/>
  <c r="P20" i="15" s="1"/>
  <c r="Q20" i="15" s="1"/>
  <c r="R14" i="15"/>
  <c r="R20" i="15" s="1"/>
  <c r="S20" i="15" s="1"/>
  <c r="H12" i="14"/>
  <c r="H14" i="14"/>
  <c r="H17" i="14"/>
  <c r="I12" i="14"/>
  <c r="I14" i="14"/>
  <c r="I17" i="14"/>
  <c r="J10" i="14"/>
  <c r="J12" i="14"/>
  <c r="J14" i="14"/>
  <c r="J17" i="14"/>
  <c r="O10" i="14"/>
  <c r="O12" i="14"/>
  <c r="O14" i="14"/>
  <c r="O17" i="14"/>
  <c r="P10" i="14"/>
  <c r="P12" i="14"/>
  <c r="P14" i="14"/>
  <c r="P17" i="14"/>
  <c r="N10" i="14"/>
  <c r="N12" i="14"/>
  <c r="N14" i="14"/>
  <c r="N17" i="14"/>
  <c r="Q14" i="14"/>
  <c r="R14" i="14"/>
  <c r="Q17" i="14"/>
  <c r="R17" i="14"/>
  <c r="Q12" i="14"/>
  <c r="R12" i="14"/>
  <c r="M12" i="14"/>
  <c r="M18" i="14" s="1"/>
  <c r="M19" i="14" s="1"/>
  <c r="Q10" i="14"/>
  <c r="R10" i="14"/>
  <c r="G14" i="15" l="1"/>
  <c r="T16" i="15"/>
  <c r="Q14" i="15"/>
  <c r="I14" i="15"/>
  <c r="T13" i="15"/>
  <c r="O14" i="15"/>
  <c r="T12" i="15"/>
  <c r="M14" i="15"/>
  <c r="T19" i="15"/>
  <c r="T18" i="15"/>
  <c r="T17" i="15"/>
  <c r="S14" i="15"/>
  <c r="K14" i="15"/>
  <c r="P18" i="14"/>
  <c r="O18" i="14"/>
  <c r="N18" i="14"/>
  <c r="I18" i="14"/>
  <c r="I19" i="14" s="1"/>
  <c r="Q18" i="14"/>
  <c r="H18" i="14"/>
  <c r="H19" i="14" s="1"/>
  <c r="R18" i="14"/>
  <c r="J18" i="14"/>
  <c r="J19" i="14" s="1"/>
  <c r="T20" i="15"/>
  <c r="T11" i="15"/>
  <c r="T14" i="15" l="1"/>
  <c r="F19" i="14"/>
</calcChain>
</file>

<file path=xl/sharedStrings.xml><?xml version="1.0" encoding="utf-8"?>
<sst xmlns="http://schemas.openxmlformats.org/spreadsheetml/2006/main" count="1639" uniqueCount="872">
  <si>
    <t>Town Hall</t>
  </si>
  <si>
    <t>Source for Projected Savings</t>
  </si>
  <si>
    <t>Lighting Retrofit</t>
  </si>
  <si>
    <t>Air Sealing</t>
  </si>
  <si>
    <t>New Boiler</t>
  </si>
  <si>
    <t>Drinking Water Treatment Plant</t>
  </si>
  <si>
    <t>TOTAL 
Projected Savings</t>
  </si>
  <si>
    <t>Energy Data</t>
  </si>
  <si>
    <t>Total Installed Cost ($)</t>
  </si>
  <si>
    <t>Green Community Grant ($)</t>
  </si>
  <si>
    <t>Utility Incentives ($)</t>
  </si>
  <si>
    <t>Net Cost ($)</t>
  </si>
  <si>
    <t>Projected Annual Cost Savings ($)</t>
  </si>
  <si>
    <t>Financial Data</t>
  </si>
  <si>
    <t>Reference Data</t>
  </si>
  <si>
    <t>Funding Source(s) for Net Costs</t>
  </si>
  <si>
    <t>Town Capital Plan FY2011</t>
  </si>
  <si>
    <t>http://www.energystar.gov/ia/business/downloads/BP_Checklist.pdf</t>
  </si>
  <si>
    <t>A-Z Energy Audit, 2008</t>
  </si>
  <si>
    <t>Boilers-to-Go Quote, 2009</t>
  </si>
  <si>
    <t>LED Signals Today Quote, 2009</t>
  </si>
  <si>
    <t>www.fueleconomy.gov</t>
  </si>
  <si>
    <t>2 Variable Speed Drives</t>
  </si>
  <si>
    <t>BUILDINGS SUBTOTAL</t>
  </si>
  <si>
    <t>STREET AND TRAFFIC LIGHTS SUBTOTAL</t>
  </si>
  <si>
    <t>WATER/SEWER/PUMPING SUBTOTAL</t>
  </si>
  <si>
    <t>VEHICLES SUBTOTAL</t>
  </si>
  <si>
    <t>Anti-idling retrofit for 2 police cruisers</t>
  </si>
  <si>
    <t>Purchase of 2010 Hybrid Civic Hybrid to replace 2001 Toyota Camry (incremental cost)</t>
  </si>
  <si>
    <t>N/A</t>
  </si>
  <si>
    <t>Town Operating Budget FY2011</t>
  </si>
  <si>
    <t>Town Operating Budget FY2012</t>
  </si>
  <si>
    <t>Energy Masters Technical Study, 2010</t>
  </si>
  <si>
    <t>green.autoblog.com</t>
  </si>
  <si>
    <t>Measure</t>
  </si>
  <si>
    <t>TOTAL MMBtu SAVINGS</t>
  </si>
  <si>
    <t>Status</t>
  </si>
  <si>
    <t>Projected 
Annual Electricity Savings (kWh)</t>
  </si>
  <si>
    <t>Projected 
Annual Natural Gas Savings (therms)</t>
  </si>
  <si>
    <t>Projected 
Annual Oil Savings (gallons)</t>
  </si>
  <si>
    <t>Projected 
Annual Gasoline Savings (gallons)</t>
  </si>
  <si>
    <t>Town Bond FY2012</t>
  </si>
  <si>
    <t>Vehicles</t>
  </si>
  <si>
    <t>Projected Annual Propane Savings (gallons)</t>
  </si>
  <si>
    <t>Table 4
Energy Conservation Measures Data</t>
  </si>
  <si>
    <t>Projected Annual Diesel Savings (gallons)</t>
  </si>
  <si>
    <t>Electricity</t>
  </si>
  <si>
    <t>Natural Gas</t>
  </si>
  <si>
    <t>#2 Distillate Fuel Oil</t>
  </si>
  <si>
    <t>Propane</t>
  </si>
  <si>
    <t>Gasoline</t>
  </si>
  <si>
    <t>Diesel</t>
  </si>
  <si>
    <t>Total MMBtu</t>
  </si>
  <si>
    <t>kWh</t>
  </si>
  <si>
    <t>MMBtu</t>
  </si>
  <si>
    <t>Therms</t>
  </si>
  <si>
    <t>Gallons</t>
  </si>
  <si>
    <t>School</t>
  </si>
  <si>
    <t>Police Station</t>
  </si>
  <si>
    <t>SUBTOTAL FOR BUILDINGS</t>
  </si>
  <si>
    <t>Drinking Water/Wastewater Treatment Plant</t>
  </si>
  <si>
    <t>Pumping in Aggregate</t>
  </si>
  <si>
    <t>Open Space*</t>
  </si>
  <si>
    <t>Vehicles in Aggregate</t>
  </si>
  <si>
    <t>Street and Traffic Lights in Aggregate</t>
  </si>
  <si>
    <t>TOTAL ENERGY CONSUMPTION</t>
  </si>
  <si>
    <t>Electric Renewable Energy</t>
  </si>
  <si>
    <t>Thermal Renewable Energy</t>
  </si>
  <si>
    <t>Location</t>
  </si>
  <si>
    <t>Size of System (kW or MMBtu)</t>
  </si>
  <si>
    <t>Projected 
Annual Electricity Generation (kWh)</t>
  </si>
  <si>
    <t>Thermal Fuel(s) Displaced</t>
  </si>
  <si>
    <t>Projected Annual Thermal Fuel  Savings</t>
  </si>
  <si>
    <t>Other Grant ($)</t>
  </si>
  <si>
    <t>Projected 
Annual Gasoline Thermal Fuel Units</t>
  </si>
  <si>
    <t>TOTAL RENEWABLE ENERGY PRODUCTION (MMBtu)</t>
  </si>
  <si>
    <t>PROJECT NAME</t>
  </si>
  <si>
    <t>Applicant</t>
  </si>
  <si>
    <t>Project Description</t>
  </si>
  <si>
    <t>Date Submitted</t>
  </si>
  <si>
    <t>Decision Date</t>
  </si>
  <si>
    <t>Other Pertinent Information</t>
  </si>
  <si>
    <r>
      <t>Type</t>
    </r>
    <r>
      <rPr>
        <sz val="10"/>
        <rFont val="Arial"/>
        <family val="2"/>
      </rPr>
      <t xml:space="preserve"> (Generation (Capacity), R&amp;D, and/or Manufacturing)</t>
    </r>
  </si>
  <si>
    <r>
      <t xml:space="preserve">Permit(s)           </t>
    </r>
    <r>
      <rPr>
        <sz val="10"/>
        <rFont val="Arial"/>
        <family val="2"/>
      </rPr>
      <t>(use as many rows as required)</t>
    </r>
  </si>
  <si>
    <t>Hilltop Wind</t>
  </si>
  <si>
    <t>Renewable Energy (wind) 9 MW</t>
  </si>
  <si>
    <t>Peak Performance, LLC.</t>
  </si>
  <si>
    <t>Six 1.5 MW wind turbines on 16 acres of land</t>
  </si>
  <si>
    <t>Site Plan Review</t>
  </si>
  <si>
    <t>Approved</t>
  </si>
  <si>
    <t xml:space="preserve">Modest design changes to conform to as-of-right bylaw </t>
  </si>
  <si>
    <t>Wetlands (access road is in buffer zone)</t>
  </si>
  <si>
    <t>Model</t>
  </si>
  <si>
    <t>Make</t>
  </si>
  <si>
    <t>Model Year</t>
  </si>
  <si>
    <t>Month/Year Purchased</t>
  </si>
  <si>
    <t>Vehicle Function</t>
  </si>
  <si>
    <t>Honda</t>
  </si>
  <si>
    <t>Civic Hybrid</t>
  </si>
  <si>
    <t>Inspector/Assessor shared car</t>
  </si>
  <si>
    <t>Address of Building</t>
  </si>
  <si>
    <t>Date Building Permit Issued</t>
  </si>
  <si>
    <t>New Residential (NR), Residential Retrofit (RR) or Commercial (C)</t>
  </si>
  <si>
    <t>Baseline MMBtu</t>
  </si>
  <si>
    <t>Year 1 MMBtu</t>
  </si>
  <si>
    <t>Year 2 MMBtu</t>
  </si>
  <si>
    <t>Year 3 MMBtu</t>
  </si>
  <si>
    <t>Year 4 MMBtu</t>
  </si>
  <si>
    <t>Year 5 MMBtu</t>
  </si>
  <si>
    <t>Buildings</t>
  </si>
  <si>
    <t>Water/Sewer &amp; Pumping</t>
  </si>
  <si>
    <r>
      <t>Open Space</t>
    </r>
    <r>
      <rPr>
        <sz val="10"/>
        <rFont val="Arial"/>
        <family val="2"/>
      </rPr>
      <t xml:space="preserve"> (optional)</t>
    </r>
  </si>
  <si>
    <t>Street and Traffic Lights</t>
  </si>
  <si>
    <t>Criterion 5 - Stretch Code Adoption</t>
  </si>
  <si>
    <t>Date Stretch Code Concurrency Period Began:</t>
  </si>
  <si>
    <t>Date Stretch Code Became Sole Effective Code:</t>
  </si>
  <si>
    <t>Dated Certificate of Occupancy Issued (if not issued, please note NA)</t>
  </si>
  <si>
    <t>Date Designated:</t>
  </si>
  <si>
    <t>Date of Annual Report Submission</t>
  </si>
  <si>
    <t>Title</t>
  </si>
  <si>
    <t>Name of Preparer of Annual Report</t>
  </si>
  <si>
    <t>Municipality Name</t>
  </si>
  <si>
    <t>I confirm that I have reviewed this report and verify all information is true.</t>
  </si>
  <si>
    <t>Type of as-of-right siting approval received:</t>
  </si>
  <si>
    <t>Type of expedited permitting approval received:</t>
  </si>
  <si>
    <t>Drive System:  2WD, 4 WD, or AWD</t>
  </si>
  <si>
    <t>2WD</t>
  </si>
  <si>
    <t>Exempt or Non-Exempt? E or NE</t>
  </si>
  <si>
    <t>N</t>
  </si>
  <si>
    <t>NE</t>
  </si>
  <si>
    <t>3) Please follow the instruction for reporting on each Criteria on the individual Criterion Excel Sheets.</t>
  </si>
  <si>
    <t xml:space="preserve">PERMITTING: </t>
  </si>
  <si>
    <t>GREEN COMMUNITY ANNUAL REPORT</t>
  </si>
  <si>
    <t>Criteria 1 and 2</t>
  </si>
  <si>
    <t xml:space="preserve">2) Please be certain to address all areas in full.  If certain requested information does not apply, then please note it as “N/A."  </t>
  </si>
  <si>
    <r>
      <t xml:space="preserve">4) If you have any questions on these reporting requirements, please contact your DOER Green Communities Regional Coordinator (RC).  The objective is to have a dialogue with Green Communities staff </t>
    </r>
    <r>
      <rPr>
        <b/>
        <sz val="10"/>
        <rFont val="Arial"/>
        <family val="2"/>
      </rPr>
      <t>BEFORE</t>
    </r>
    <r>
      <rPr>
        <sz val="10"/>
        <rFont val="Arial"/>
        <family val="2"/>
      </rPr>
      <t xml:space="preserve"> the report is due so that minimal follow-up with the municipality is required after the due date.</t>
    </r>
  </si>
  <si>
    <t xml:space="preserve">5) Print, fill out completely, and submit a signed copy of this page of the completed annual report as a PDF via the online system. </t>
  </si>
  <si>
    <t xml:space="preserve">NARRATIVE: </t>
  </si>
  <si>
    <t>Signature of Chief Executive Officer</t>
  </si>
  <si>
    <t>NARRATIVE:</t>
  </si>
  <si>
    <t>Other Notes</t>
  </si>
  <si>
    <t>R&amp;D</t>
  </si>
  <si>
    <t>MFR</t>
  </si>
  <si>
    <t>R&amp;D and MFR</t>
  </si>
  <si>
    <t>43D</t>
  </si>
  <si>
    <t>Local</t>
  </si>
  <si>
    <t>Yes per AR 2011</t>
  </si>
  <si>
    <t>No per designation app</t>
  </si>
  <si>
    <t>Yes per designation ap</t>
  </si>
  <si>
    <t>blank</t>
  </si>
  <si>
    <t>Generation; Solar &amp; Wind</t>
  </si>
  <si>
    <t>Generation; Wind</t>
  </si>
  <si>
    <t>R&amp;D &amp; MFR &amp; Solar</t>
  </si>
  <si>
    <t>Generation; Solar</t>
  </si>
  <si>
    <t>For Most Recent Year: Change vs. Baseline (%)</t>
  </si>
  <si>
    <t>GUIDANCE FOR REPORTING RENEWABLE ENERGY GENERATION AS ENERGY CONSUMPTION</t>
  </si>
  <si>
    <t>RE Scenario 1: Net Metering, System Generation &lt; Building Use</t>
  </si>
  <si>
    <t>If the building uses more electricity than the net metered RE system produces, then a Green Community should add in the amount of generation. This means the total building energy use = kWh from electric bill + kWh generated by RE.</t>
  </si>
  <si>
    <t>Information Needed: The actual amount of RE generation in kWh for each month.</t>
  </si>
  <si>
    <t>RE Scenario 2: Net Metering, System Generation &gt; Building Use</t>
  </si>
  <si>
    <t xml:space="preserve">If the net metered RE system produces more electricity than the connected building uses (ie., the utility bill shows a negative kWh amount of usage), then a Green Community should not add in the amount of generation over and above what the building used. This means the total building energy use = kWh generated by RE – kWh credited to grid for net metering. </t>
  </si>
  <si>
    <t>Information Needed: The actual amount of RE generation in kWh and the actual amount of RE generation in kWh credited as net metering for each month.</t>
  </si>
  <si>
    <t>RE Scenario 3: Virtual Net Metering</t>
  </si>
  <si>
    <t>If a building is virtually net metered, in which the RE system has its own separate meter but the financial credits are applied to a different building, then the actual amount of electricity use of the building will be on its electric bill. For example, a municipality may have built a solar PV array on a closed landfill. The PV system has a meter but does not link to any buildings that consume a substantial amount of energy. (The PV system will be linked to its inverter and perhaps to a small shed or security lights.)  The financial value of the electricity that is generated by the landfill solar PV system is applied to an account for electric use at the town hall and to an account for electric use at the library. The electric bills for the town hall and library thus will show the amount of electricity that is actually used by those buildings, but only charge for the amount of electricity above and beyond what was generated by the solar PV system on the landfill. See DOER’s Net Metering page for more details on credits for renewable generation.</t>
  </si>
  <si>
    <t>Information Needed: Written confirmation of virtual net metering documenting there is a separate meter used for the RE system with only a small load-side usage. The load-side usage should be reported to MassEnergyInsight under Scenario 2 above.</t>
  </si>
  <si>
    <t>Action: Generation does not impact baseline and should NOT be loaded into MEI. Provide information needed as noted above. Report load-side usage under Scenario 2 above.</t>
  </si>
  <si>
    <t>RE Scenario 4: RE Generation to Control Rates (for MLPs)</t>
  </si>
  <si>
    <t>To confirm: Written confirmation of RE generation for system-wide benefit with no virtual net metering. The load-side usage should be reported to MassEnergyInsight under Scenario 2 above.</t>
  </si>
  <si>
    <t>Action: Generation does not impact baseline and should NOT be loaded into MEI. Provide information needed as noted above.</t>
  </si>
  <si>
    <t>Note Fiscal or Calendar Year</t>
  </si>
  <si>
    <t>As-of-right designated location</t>
  </si>
  <si>
    <r>
      <t xml:space="preserve">Have any clean energy projects applied for approval </t>
    </r>
    <r>
      <rPr>
        <b/>
        <sz val="10"/>
        <rFont val="Arial"/>
        <family val="2"/>
      </rPr>
      <t>under the zoning for which the community received Green Community Designation</t>
    </r>
    <r>
      <rPr>
        <sz val="10"/>
        <rFont val="Arial"/>
        <family val="2"/>
      </rPr>
      <t>?</t>
    </r>
  </si>
  <si>
    <t>landfill</t>
  </si>
  <si>
    <t>&gt; 8500 pounds?  (Y or N or NA)</t>
  </si>
  <si>
    <t>Crown Victoria</t>
  </si>
  <si>
    <t>NA</t>
  </si>
  <si>
    <t>E</t>
  </si>
  <si>
    <t>Police CRUISER</t>
  </si>
  <si>
    <t>April, 2011</t>
  </si>
  <si>
    <t>July, 2013</t>
  </si>
  <si>
    <t>Ford</t>
  </si>
  <si>
    <t>Assesor</t>
  </si>
  <si>
    <t>Notes on Cert of Occupancy</t>
  </si>
  <si>
    <t xml:space="preserve">7)  NOTE:  In the case of any criteria violations( e.g. a vehicle purchased that does not meet the fuel efficient vehicle policy), the municipality will be asked to provide a corrective action plan.  A first-time violation will be factored into consideration when DOER awards funds under the next available Green Communities funding opportunity.   A second violation will prohibit the municipality from being eligible for any funds in the next available Green Communities funding opportunity. </t>
  </si>
  <si>
    <t xml:space="preserve">8)  For Green Communities that have filed previous Annual Reports, new or changed information is highlighted in blue </t>
  </si>
  <si>
    <t>The Chief Executive Officer is defined as the manager in any city having a manager and in any town having a city form of government, the mayor in any other city, and the board of selectmen in any other town unless some other officer or body is designated to perform the functions of a chief executive officer under the provisions of a local charter or laws having the force of a charter.  Any signatures of designees will be considered an attestation that the signatory has been designated the designee by the municipality.</t>
  </si>
  <si>
    <t>Sample Narrative: Our buildings have a 12 percent decrease in energy use and the vehicles have a 4 percent reduction. We have implemented projects in the Town Hall and would have expected larger savings. We are investigating this. We are also intending to implement a large retrofit at the drinking water treatment plant this year that should yield a significant level of savings.</t>
  </si>
  <si>
    <r>
      <rPr>
        <b/>
        <sz val="10"/>
        <rFont val="Arial"/>
        <family val="2"/>
      </rPr>
      <t>1) Municipalities must have a fuel efficient vehicle policy that reflects the most recent guidance provided by the Green Communities Division</t>
    </r>
    <r>
      <rPr>
        <sz val="10"/>
        <rFont val="Arial"/>
        <family val="2"/>
      </rPr>
      <t xml:space="preserve"> (see http://www.mass.gov/eea/energy-utilities-clean-tech/green-communities/gc-grant-program/criterion-4.html for most recent guidance).</t>
    </r>
  </si>
  <si>
    <t>Criterion 4 - Purchase Fuel Efficient Vehicles</t>
  </si>
  <si>
    <t>The following scenarios apply to renewable energy systems  that are interconnected to the electric grid. It is possible that more than one scenario applies to the same renewable energy system; for example, a solar PV system may produce more energy than its building uses (scenario 2) in the summer, but less energy than its building uses in the winter (scenario 1). Ideally, calculations should be done for each month.</t>
  </si>
  <si>
    <t>Find  and Calculate: Find the kWh generated each month from your RE system.  Contact your Regional Coordinator if you are having trouble finding the KWh generated each month.</t>
  </si>
  <si>
    <t>Action: Load the building renewable energy usage into MassEnergyInsight (MEI). Create a separate account for RE for each building. Load the RE generation for each month by going to “Upload a Spreadsheet.” Choose “solar electric” or “wind power.” Upload your usage data. Or, report to DOER in your Annual Report.</t>
  </si>
  <si>
    <t>Find and Calculate: Find the total kWh generated each month from your RE system. Find the kWh credited to you from net metering to the grid for each month. Subtract the net metering amount from the total generation. This is your building’s NET use of renewable energy. Contact your Regional Coordinator if you are having trouble finding the KWh generated and credited each month.</t>
  </si>
  <si>
    <r>
      <t xml:space="preserve">Action: Load the </t>
    </r>
    <r>
      <rPr>
        <b/>
        <sz val="12"/>
        <rFont val="Calibri"/>
        <family val="2"/>
      </rPr>
      <t xml:space="preserve">NET </t>
    </r>
    <r>
      <rPr>
        <sz val="12"/>
        <rFont val="Calibri"/>
        <family val="2"/>
      </rPr>
      <t>building renewable energy usage into MassEnergyInsight (MEI). Create a separate account for RE for each building. Load the RE generation for each month by going to “Upload a Spreadsheet.” Choose “solar electric” or “wind power.” Upload your usage data. Or, report to DOER in your Anual Report.</t>
    </r>
  </si>
  <si>
    <t>If an MLP uses its RE generation to control its system-wide rates and does not use the RE for a specific municipal building, either directly or through virtual net metering, then the amount of RE generation does not need to be included.</t>
  </si>
  <si>
    <t>Table 2: Timeline of Annual Municipal Energy Use</t>
  </si>
  <si>
    <t xml:space="preserve">NOTE: IF USING MASSENERGYINSIGHT, there is NO need to complete this table. </t>
  </si>
  <si>
    <t>Provide a brief narrative explaining changes seen and what is anticipated for the next year. Any notes on successes or challenges are welcome.</t>
  </si>
  <si>
    <t>If new acquisition, what vehicle did it replace?</t>
  </si>
  <si>
    <t>Does your Green Community use any energy produced by renewable energy produced within your community? For example, solar PV systems installed on school or municipal buildings, RE PPAs in which the town buys the electricity, or renewable thermal. Please Reply NO or YES.  (Delete the appropriate word in the box to the right) If YES, complete Table 5.</t>
  </si>
  <si>
    <r>
      <rPr>
        <b/>
        <sz val="10"/>
        <rFont val="Arial"/>
        <family val="2"/>
      </rPr>
      <t xml:space="preserve">Please provide in the space below what percentage of your municipality's electricity consumption is supported by renewable energy generation? </t>
    </r>
    <r>
      <rPr>
        <sz val="10"/>
        <rFont val="Arial"/>
        <family val="2"/>
      </rPr>
      <t>Of this percentage, how much of this is onsite generation? How much of this is net metering? How much of this is through the purchase of Renewable Energy Certificates (RECs)?</t>
    </r>
  </si>
  <si>
    <r>
      <rPr>
        <b/>
        <sz val="10"/>
        <rFont val="Arial"/>
        <family val="2"/>
      </rPr>
      <t>Please provide in the space below any information about additional measures taken by the community that are consistent with its status as a designated Green Community</t>
    </r>
    <r>
      <rPr>
        <sz val="10"/>
        <rFont val="Arial"/>
        <family val="2"/>
      </rPr>
      <t>(e.g. additional as-of-right siting put in place since designation for renewable or alternative energy generation, R&amp;D, or Manufacturing facilities).</t>
    </r>
  </si>
  <si>
    <r>
      <rPr>
        <b/>
        <sz val="10"/>
        <rFont val="Arial"/>
        <family val="2"/>
      </rPr>
      <t>Please provide in the space below any anecdotal information about your community's experience with the Stretch Code</t>
    </r>
    <r>
      <rPr>
        <sz val="10"/>
        <rFont val="Arial"/>
        <family val="2"/>
      </rPr>
      <t xml:space="preserve"> (e.g. local banks loaning more to people purchasing stretch code homes, satisfied homeowners, frustrated builders, etc.).</t>
    </r>
  </si>
  <si>
    <t>To include a percentage of the energy use of a Regional School district, please include 3 versions of Table 2: one for the combined and final totals, one for the municipality alone, and one for the RSD (in its entirety, noting the applicable percentage).</t>
  </si>
  <si>
    <t xml:space="preserve">Fuel use from all vehicles, including those characterized as exempt AND non-exempt under Criterion 4, must be included. </t>
  </si>
  <si>
    <t>Renewable Energy is a fuel source and the amount of renewable energy consumed by the Green Community must be included.</t>
  </si>
  <si>
    <r>
      <t xml:space="preserve">Please complete Table 2 below. ALL categories are required, with the exception of open space. </t>
    </r>
    <r>
      <rPr>
        <b/>
        <sz val="10"/>
        <rFont val="Arial"/>
        <family val="2"/>
      </rPr>
      <t/>
    </r>
  </si>
  <si>
    <r>
      <rPr>
        <b/>
        <sz val="10"/>
        <rFont val="Arial"/>
        <family val="2"/>
      </rPr>
      <t>For MassEnergyInsight Users:</t>
    </r>
    <r>
      <rPr>
        <sz val="10"/>
        <rFont val="Arial"/>
        <family val="2"/>
      </rPr>
      <t xml:space="preserve"> the easiest way to populate this table is to look at the ERP Guidance Table 3b (MMBTU) for each year. Enter the category totals and the grand total. Any null energy use should be assigned to the proper category or at least be consistent across the years. Please note if baseline numbers have changed due to any adjustments made in MEI, and, if so, what those adjustments were. </t>
    </r>
    <r>
      <rPr>
        <b/>
        <sz val="10"/>
        <rFont val="Arial"/>
        <family val="2"/>
      </rPr>
      <t>Please verify that Table 2 matches the information in Table 3 (or MassEnergyInsight if using it to report).</t>
    </r>
  </si>
  <si>
    <t>REMEMBER to load all diesel, gasoline, heating oil and propane energy usage, as well as renewable energy usage that is NOT net-metered, into MEI prior to providing a date that your data is complete. Also, confirm that Table 3 in MEI matches the data provided in Table 2.</t>
  </si>
  <si>
    <t>Category/Building Name</t>
  </si>
  <si>
    <t>Energy Conservation 
Measure Name</t>
  </si>
  <si>
    <t>Status (select one from drop-down)</t>
  </si>
  <si>
    <t>Status Timeline (Completed with month/year or planned Qtr/year)</t>
  </si>
  <si>
    <t>ECM Type (select one from drop-down)</t>
  </si>
  <si>
    <t>ECMs</t>
  </si>
  <si>
    <t>Green School</t>
  </si>
  <si>
    <t>Street Lights</t>
  </si>
  <si>
    <t>LED Conversion</t>
  </si>
  <si>
    <t>Renewable Energy Project Name</t>
  </si>
  <si>
    <t>Criterion 3 Step 5: Complete Table 5 - Renewable Energy</t>
  </si>
  <si>
    <t>1. Read and complete all questions below.</t>
  </si>
  <si>
    <t>2. Complete Table 2: Progress</t>
  </si>
  <si>
    <t>3. Complete Table 3: Energy Use</t>
  </si>
  <si>
    <t>4. Complete Table 4: Energy Conservation Measures (ECMs)</t>
  </si>
  <si>
    <t>5. Complete Table 5: Renewable Energy Projects</t>
  </si>
  <si>
    <t>6. Provide a Narrative</t>
  </si>
  <si>
    <t>7. Building Stock Changes</t>
  </si>
  <si>
    <t>Criterion 3 Step 2: Complete Table 2 - Progress</t>
  </si>
  <si>
    <t>Criterion 3 Step 4: Complete Table 4 - ECMs</t>
  </si>
  <si>
    <t>Please enter "0" for any fuels not used</t>
  </si>
  <si>
    <t>Status Date (Completed with month/year or planned Qtr/year)</t>
  </si>
  <si>
    <t>Fuel Conversion</t>
  </si>
  <si>
    <t>Hot Water</t>
  </si>
  <si>
    <t>HVAC</t>
  </si>
  <si>
    <t>Interior lighting &amp; controls</t>
  </si>
  <si>
    <t>Refrigeration</t>
  </si>
  <si>
    <t>Project Type</t>
  </si>
  <si>
    <t>Definition/Includes:</t>
  </si>
  <si>
    <t>Weatherization</t>
  </si>
  <si>
    <t>Interior Lighting</t>
  </si>
  <si>
    <t>Retrocommission</t>
  </si>
  <si>
    <t>Pump/Motor/Drive</t>
  </si>
  <si>
    <t>Refrigeration and controls, including vending misers</t>
  </si>
  <si>
    <t>Behav &amp; Training</t>
  </si>
  <si>
    <t>Behavioral programs, building operator training, etc.</t>
  </si>
  <si>
    <t>Building Control</t>
  </si>
  <si>
    <t>HVAC controls, energy management systems (NO vending misers)</t>
  </si>
  <si>
    <t>Retrocommissioning and submetering projects</t>
  </si>
  <si>
    <t>Insulation, air-sealing, windows, etc.</t>
  </si>
  <si>
    <t>Streetlights, traffic lights, parking lots/garages, exterior lighting</t>
  </si>
  <si>
    <t>Conversion from one heating fuel type to another (often oil to natural gas)</t>
  </si>
  <si>
    <t>Hot water heaters, pipe insulation, showerheads, faucet aerators, efficient dish washers</t>
  </si>
  <si>
    <t>Heating or cooling equipment, economizers, destratification fans, dehumidifiers, duct sealing or insulation (NO VFDs)</t>
  </si>
  <si>
    <t>Pumps, motors, variable frequency/speed drives</t>
  </si>
  <si>
    <r>
      <t>Exterior Lighting</t>
    </r>
    <r>
      <rPr>
        <sz val="14"/>
        <rFont val="Calibri"/>
        <family val="2"/>
      </rPr>
      <t xml:space="preserve"> </t>
    </r>
  </si>
  <si>
    <t>Complete</t>
  </si>
  <si>
    <t>Active</t>
  </si>
  <si>
    <t>Planned</t>
  </si>
  <si>
    <t>Q3 2015</t>
  </si>
  <si>
    <t>Q3 2012</t>
  </si>
  <si>
    <t>Q2 2014</t>
  </si>
  <si>
    <t>Status Type</t>
  </si>
  <si>
    <t>Identified project that will be pursued; may be in budgeting or procurement.</t>
  </si>
  <si>
    <t>Project is actively underway - procurement completed and in any stage of construction.</t>
  </si>
  <si>
    <t>Project is complete &amp; operational.</t>
  </si>
  <si>
    <t>Energy-savings vehicles &amp; their operations: GPS, anti-idling retrofits, routing software, big belly trash collectors, hybrid or EV purchases</t>
  </si>
  <si>
    <t>&lt;Select YES or NO&gt;</t>
  </si>
  <si>
    <t>YES</t>
  </si>
  <si>
    <t>NO</t>
  </si>
  <si>
    <t>2) Have any significant changes been made to site plan, design, or other development review criteria or any permit review procedures that would impact the ability to permit qualifying clean energy uses as-of-right and in a timely manner? Significant changes would be anything that pertains to the “by-right” nature of the zoning or to the amount of time necessary to review required permits.  
If yes, attach a letter from municipal counsel that describes the changes, illustrates any potential impact on the siting of clean energy projects, and affirms continued compliance with the Green Communities As-of-Right Zoning and Expedited Permitting criteria.
Please select YES or NO in the dropdown on the right. If YES, attach letter from municipal counsel.</t>
  </si>
  <si>
    <t xml:space="preserve">3) Has the space designated for “as-of right” development for which the community received Green Communities designation been reduced? 
Please select YES or NO in the dropdown on the right. If YES, explain what has happened since the community applied for, and received, Green Communities designation and describe any plans the community may have to make such development feasible again
</t>
  </si>
  <si>
    <t>Please select YES or NO in the dropdown on the right.  If YES, fill out Table 1 below:</t>
  </si>
  <si>
    <t xml:space="preserve"> </t>
  </si>
  <si>
    <r>
      <rPr>
        <b/>
        <sz val="10"/>
        <rFont val="Arial"/>
        <family val="2"/>
      </rPr>
      <t>REGULATIONS (zoning &amp; permitting):</t>
    </r>
    <r>
      <rPr>
        <sz val="10"/>
        <rFont val="Arial"/>
        <family val="2"/>
      </rPr>
      <t xml:space="preserve">
1) Have any significant changes been made to the zoning district(s) for which the community received Green Communities designation?  Significant changes, such as changes to the geographic extent of the district, allowed uses, and dimensional requirements, would impact the ability to construct a qualifying clean energy use in the district.  Overlay districts, such as water protection districts that impose special permitting requirements, count as significant changes.
If yes, attach a letter from municipal counsel that describes the changes, outlines any potential impact on the siting of clean energy projects, and affirms continued compliance with the Green Communities As-of-Right Zoning and Expedited Permitting criteria, as well as a revised zoning map.
Please select YES or NO in the dropdown on the right. If YES, attach letter from municipal counsel.</t>
    </r>
  </si>
  <si>
    <t xml:space="preserve">Exterior Lighting </t>
  </si>
  <si>
    <t>Conversion Factors</t>
  </si>
  <si>
    <t>Gallons of Fuel Oil to MMBTU</t>
  </si>
  <si>
    <t>KWH of Electricity to MMBTU</t>
  </si>
  <si>
    <t>Gallons of Propane to MMBTU</t>
  </si>
  <si>
    <t>Gallons of Gasoline to MMBTU</t>
  </si>
  <si>
    <t>Gallons of Diesel to MMBTU</t>
  </si>
  <si>
    <t>Therms to MMBTU</t>
  </si>
  <si>
    <t>GHG Emissions Conversions</t>
  </si>
  <si>
    <t>kBtu Conversions</t>
  </si>
  <si>
    <t>CO2 Emissions Factor (lbs CO2/unit)</t>
  </si>
  <si>
    <t>CO2 Emissions Factor (metric tonnes CO2/unit)</t>
  </si>
  <si>
    <t>GHG Emissions Factor (lbs CO2e/unit)</t>
  </si>
  <si>
    <t>GHG Emissions Factor (Metric Tons CO2e/unit)</t>
  </si>
  <si>
    <t>Reference for GHG emissions</t>
  </si>
  <si>
    <t>Reference for CO2 emissions</t>
  </si>
  <si>
    <t>Reference for kBtu conversion</t>
  </si>
  <si>
    <t>Grid Electricity CY2001</t>
  </si>
  <si>
    <t>MassDEP factor calculated CO2e</t>
  </si>
  <si>
    <t>MA-based combo from MassDEP based on GHG inventory</t>
  </si>
  <si>
    <t>http://www.eia.gov/totalenergy/data/annual/pdf/sec12.pdf</t>
  </si>
  <si>
    <t>Grid Electricity CY2002</t>
  </si>
  <si>
    <t>Grid Electricity CY2003</t>
  </si>
  <si>
    <t>Grid Electricity CY2004</t>
  </si>
  <si>
    <t>Grid Electricity CY2005</t>
  </si>
  <si>
    <t>Grid Electricity CY2006</t>
  </si>
  <si>
    <t>Grid Electricity CY2007</t>
  </si>
  <si>
    <t>Grid Electricity CY2008</t>
  </si>
  <si>
    <t>Grid Electricity CY2009</t>
  </si>
  <si>
    <t>Grid Electricity CY2010</t>
  </si>
  <si>
    <t>Grid Electricity CY2011</t>
  </si>
  <si>
    <t>Grid Electricity CY2012</t>
  </si>
  <si>
    <t>Grid Electricity CY2013</t>
  </si>
  <si>
    <t>Grid Electricity CY2014</t>
  </si>
  <si>
    <t>Grid Electricity FY2002</t>
  </si>
  <si>
    <t>Grid Electricity FY2003</t>
  </si>
  <si>
    <t>Grid Electricity FY2004</t>
  </si>
  <si>
    <t>Grid Electricity FY2005</t>
  </si>
  <si>
    <t>Grid Electricity FY2006</t>
  </si>
  <si>
    <t>Grid Electricity FY2007</t>
  </si>
  <si>
    <t>Grid Electricity FY2008</t>
  </si>
  <si>
    <t>Grid Electricity FY2009</t>
  </si>
  <si>
    <t>Grid Electricity FY2010</t>
  </si>
  <si>
    <t>Grid Electricity FY2011</t>
  </si>
  <si>
    <t>Grid Electricity FY2012</t>
  </si>
  <si>
    <t>Grid Electricity FY2013</t>
  </si>
  <si>
    <t>Grid Electricity FY2014</t>
  </si>
  <si>
    <t>Natural Gas (therms)</t>
  </si>
  <si>
    <t>http://www.energystar.gov/ia/business/evaluate_performance/Emissions_Supporting_Doc.pdf</t>
  </si>
  <si>
    <t>http://www.eia.gov/oiaf/1605/coefficients.html</t>
  </si>
  <si>
    <t>Natural Gas (CCF)</t>
  </si>
  <si>
    <t>calculated based off of 1 CCF=1.023 therms</t>
  </si>
  <si>
    <t>http://www.eia.gov/tools/faqs/faq.cfm?id=45&amp;t=8</t>
  </si>
  <si>
    <t>Oil #2/ Diesel for Buildings (gallons)</t>
  </si>
  <si>
    <t>Oil #4 (gallons)</t>
  </si>
  <si>
    <t>Oil #6 (gallons)</t>
  </si>
  <si>
    <t>On-Site CHP Electricity (kWh)</t>
  </si>
  <si>
    <t>On-Site Hydro (kWh)</t>
  </si>
  <si>
    <t>On-Site Solar PV Electricity (kWh)</t>
  </si>
  <si>
    <t>On-Site Wind Electricity (kWh)</t>
  </si>
  <si>
    <t>Electric Vehicles (kWh)</t>
  </si>
  <si>
    <t>same as Grid Electricity</t>
  </si>
  <si>
    <t>Diesel Vehicles (gallons)</t>
  </si>
  <si>
    <t>based on CO2 number, followed guidance from Sharon Webber (DEP) on non-CO2 emissions based on mobile sector of MA GHG emissions total</t>
  </si>
  <si>
    <t>E-85, Ethanol-85 (gallons)</t>
  </si>
  <si>
    <t>Gasoline (gallons)</t>
  </si>
  <si>
    <t>Propane (gallons)</t>
  </si>
  <si>
    <t>Propane (gallons) Vehicles</t>
  </si>
  <si>
    <t>Jet Fuel (gallons)</t>
  </si>
  <si>
    <t>Used Vegetable Oil</t>
  </si>
  <si>
    <t>http://www.theclimateregistry.org/downloads/2012/01/2012-Climate-Registry-Default-Emissions-Factors.pdf</t>
  </si>
  <si>
    <t>Biodiesel (B100) (gallons)</t>
  </si>
  <si>
    <t>Biodiesel (B20) (gallons)</t>
  </si>
  <si>
    <t>Calculated based on B100+diesel, did not round to give Bio credit</t>
  </si>
  <si>
    <t>Biodiesel (B5) (gallons)</t>
  </si>
  <si>
    <t>CNG (gallons)</t>
  </si>
  <si>
    <t>http://www.theclimateregistry.org/downloads/2013/01/2013-Climate-Registry-Default-Emissions-Factors.pdf; 1 Gallon Gasoline Equivalent = 126.67 SCF-  CNG is typically sold in GGE instead of SCF</t>
  </si>
  <si>
    <t>http://www.afdc.energy.gov/pdfs/afv_info.pdf</t>
  </si>
  <si>
    <t>LNG (gallons)</t>
  </si>
  <si>
    <t>http://www.theclimateregistry.org/downloads/2013/01/2013-Climate-Registry-Default-Emissions-Factors.pdf</t>
  </si>
  <si>
    <t>Purchased Steam (mlbs)</t>
  </si>
  <si>
    <t>EPA only calculated CO2e for district steam</t>
  </si>
  <si>
    <t>based on ave of Boston &amp; Cambridge calculated data T:\LBE\Agency-Campus Energy-GHG Tracking &amp; Reporting\LBE Database\Account Updates from Agency\Steam</t>
  </si>
  <si>
    <t>https://www.energystar.gov/ia/business/tools_resources/target_finder/help/Energy_Units_Conversion_Table.htm</t>
  </si>
  <si>
    <t>Coal (tons)</t>
  </si>
  <si>
    <t>Wood Pellets (tons)</t>
  </si>
  <si>
    <t>based upon guidance from Dwayne Breger &amp; Rob Rizzo</t>
  </si>
  <si>
    <t>www.eia.gov/neic/experts/heatcalc.xls</t>
  </si>
  <si>
    <t>Cord Wood (chord)</t>
  </si>
  <si>
    <r>
      <rPr>
        <b/>
        <sz val="11"/>
        <color theme="1"/>
        <rFont val="Calibri"/>
        <family val="2"/>
        <scheme val="minor"/>
      </rPr>
      <t>How to calculate Energy Use Intensity (EUI) for a building/s:</t>
    </r>
    <r>
      <rPr>
        <sz val="10"/>
        <rFont val="Arial"/>
        <family val="2"/>
      </rPr>
      <t xml:space="preserve"> add up all kBtu totals for all building/s energy consumption and divide by the building or site square footage.</t>
    </r>
  </si>
  <si>
    <t>Energy Efficiency Equivalencies</t>
  </si>
  <si>
    <t>Fuel</t>
  </si>
  <si>
    <t>Equivalency Factor (divide by factor)</t>
  </si>
  <si>
    <t>Reference to calculate equivalents</t>
  </si>
  <si>
    <t>Comments</t>
  </si>
  <si>
    <t>MA Homes powered by Electricity per year (kWh) CY2012</t>
  </si>
  <si>
    <t>US EIA 2011 data for Mass., with corroboration from MassDOER on kWh and therms; DOER data for heating oil</t>
  </si>
  <si>
    <t>MA Homes heated by Natural Gas per year (therms) CY2012</t>
  </si>
  <si>
    <t>MA Homes heated by Oil per year (gallons) CY2012</t>
  </si>
  <si>
    <t>MA Homes total energy use (MMBtu) CY2012</t>
  </si>
  <si>
    <t>MA Homes powered by Electricity per year (kWh) CY2011</t>
  </si>
  <si>
    <t>US EIA 2010 data for Mass., with corroboration from MassDOER on kWh and therms; DOER data for heating oil</t>
  </si>
  <si>
    <t>MA Homes heated by Natural Gas per year (therms) CY2011</t>
  </si>
  <si>
    <t>MA Homes heated by Oil per year (gallons) CY2011</t>
  </si>
  <si>
    <t>MA Homes total energy use (MMBtu) CY2011</t>
  </si>
  <si>
    <t>U.S. Vehicle GHG emissions per year</t>
  </si>
  <si>
    <t>http://www.epa.gov/cleanenergy/energy-resources/refs.html#vehicles</t>
  </si>
  <si>
    <t>Formula allows for MA specific number in the future if interested</t>
  </si>
  <si>
    <t>If colored green, please edit upon release of updated numbers</t>
  </si>
  <si>
    <t>Terms of Art</t>
  </si>
  <si>
    <t>Use:</t>
  </si>
  <si>
    <t>Instead of:</t>
  </si>
  <si>
    <t>Clean Energy</t>
  </si>
  <si>
    <t>Green</t>
  </si>
  <si>
    <t>Combined Heat and Power (CHP)</t>
  </si>
  <si>
    <t>Co-generation</t>
  </si>
  <si>
    <t>Wind Turbines</t>
  </si>
  <si>
    <t>Windmills</t>
  </si>
  <si>
    <t>Ground Source Heat Pumps (GSHP)</t>
  </si>
  <si>
    <t>Geothermal</t>
  </si>
  <si>
    <t>Massachusetts Homes for electricity and gas equivalences</t>
  </si>
  <si>
    <t xml:space="preserve">National car equivalencies </t>
  </si>
  <si>
    <t>MA Capacity Factors</t>
  </si>
  <si>
    <t>Renewable</t>
  </si>
  <si>
    <t>Factor</t>
  </si>
  <si>
    <t>Reference</t>
  </si>
  <si>
    <t>Solar Capacity</t>
  </si>
  <si>
    <t>Class I Regulations</t>
  </si>
  <si>
    <t>Wind Capacity, land-based</t>
  </si>
  <si>
    <t>Wind Capacity, offshore</t>
  </si>
  <si>
    <t>Unit</t>
  </si>
  <si>
    <t>Factor (Multiply by factor)</t>
  </si>
  <si>
    <t>Resulting Unit</t>
  </si>
  <si>
    <t>short ton</t>
  </si>
  <si>
    <t>metric ton</t>
  </si>
  <si>
    <t>Megawatt (MW)</t>
  </si>
  <si>
    <t>kilowatts (kW)</t>
  </si>
  <si>
    <t>kilowatt hours (kWh)</t>
  </si>
  <si>
    <t>Gigawatt (GW)</t>
  </si>
  <si>
    <t>therm</t>
  </si>
  <si>
    <t>kBtu</t>
  </si>
  <si>
    <t>Btu</t>
  </si>
  <si>
    <t>Petroleum (barrel (bbl))</t>
  </si>
  <si>
    <t>U.S. gallons (gal)</t>
  </si>
  <si>
    <t>Coal (1 short ton)</t>
  </si>
  <si>
    <t>pounds (lb)</t>
  </si>
  <si>
    <t>Coal (1 long ton)</t>
  </si>
  <si>
    <t>Coal (1 metric ton)</t>
  </si>
  <si>
    <t>kilograms (kg)</t>
  </si>
  <si>
    <t>wood (1 cord (cd))</t>
  </si>
  <si>
    <t>short tons</t>
  </si>
  <si>
    <t>cubic feet (ft3)</t>
  </si>
  <si>
    <t>CO2 (1 metric ton)</t>
  </si>
  <si>
    <t>CY2007</t>
  </si>
  <si>
    <t>CY2008</t>
  </si>
  <si>
    <t>CY2009</t>
  </si>
  <si>
    <t>CY2010</t>
  </si>
  <si>
    <t>CY2011</t>
  </si>
  <si>
    <t>CY2012</t>
  </si>
  <si>
    <t>CY2013</t>
  </si>
  <si>
    <t>CY2014</t>
  </si>
  <si>
    <t>FY2008</t>
  </si>
  <si>
    <t>FY2009</t>
  </si>
  <si>
    <t>FY2010</t>
  </si>
  <si>
    <t>FY2011</t>
  </si>
  <si>
    <t>FY2012</t>
  </si>
  <si>
    <t>FY2013</t>
  </si>
  <si>
    <t>FY2014</t>
  </si>
  <si>
    <t>&lt;Select Year&gt;</t>
  </si>
  <si>
    <t>2WD, 4 WD, or AWD</t>
  </si>
  <si>
    <t>4WD</t>
  </si>
  <si>
    <t>AWD</t>
  </si>
  <si>
    <t>&lt;Select Drive System&gt;</t>
  </si>
  <si>
    <t>&lt;Select One&gt;</t>
  </si>
  <si>
    <t>Y</t>
  </si>
  <si>
    <t xml:space="preserve">Removed from inventory? </t>
  </si>
  <si>
    <t>kBtu Conversion Factor</t>
  </si>
  <si>
    <t>9) Fields highlighted in yellow should be completed by Green Communities.</t>
  </si>
  <si>
    <t>To insert additional rows, select this row, right-click, and select "Insert."</t>
  </si>
  <si>
    <t>Select Plan Year:</t>
  </si>
  <si>
    <t xml:space="preserve">Criterion 3 Step 3: Complete Table 3 OR use MEI (NOTE:  provide a separate table for each year of implementation of Energy Reduction Plan and note the year here, e.g. FY11 or CY11) </t>
  </si>
  <si>
    <r>
      <t xml:space="preserve">Table 4
</t>
    </r>
    <r>
      <rPr>
        <b/>
        <i/>
        <sz val="14"/>
        <color rgb="FFFF0000"/>
        <rFont val="Arial"/>
        <family val="2"/>
      </rPr>
      <t xml:space="preserve">SAMPLE </t>
    </r>
    <r>
      <rPr>
        <b/>
        <sz val="14"/>
        <color rgb="FFFF0000"/>
        <rFont val="Arial"/>
        <family val="2"/>
      </rPr>
      <t>Energy Conservation Measures Data</t>
    </r>
  </si>
  <si>
    <r>
      <rPr>
        <b/>
        <i/>
        <sz val="11"/>
        <color rgb="FFFF0000"/>
        <rFont val="Arial"/>
        <family val="2"/>
      </rPr>
      <t>SAMPLE</t>
    </r>
    <r>
      <rPr>
        <b/>
        <sz val="11"/>
        <color rgb="FFFF0000"/>
        <rFont val="Arial"/>
        <family val="2"/>
      </rPr>
      <t xml:space="preserve"> Criterion 3 Step 4: Complete Table 4 - ECMs</t>
    </r>
  </si>
  <si>
    <t>Click here to view a sample version of this table</t>
  </si>
  <si>
    <t>Click here to return to Table 4</t>
  </si>
  <si>
    <r>
      <t xml:space="preserve">Table 1: </t>
    </r>
    <r>
      <rPr>
        <b/>
        <i/>
        <sz val="11"/>
        <color rgb="FFFF0000"/>
        <rFont val="Arial"/>
        <family val="2"/>
      </rPr>
      <t xml:space="preserve">SAMPLE </t>
    </r>
    <r>
      <rPr>
        <b/>
        <sz val="11"/>
        <color rgb="FFFF0000"/>
        <rFont val="Arial"/>
        <family val="2"/>
      </rPr>
      <t xml:space="preserve">Expedited Permitting Projects </t>
    </r>
  </si>
  <si>
    <t>Click here to return to Table 1</t>
  </si>
  <si>
    <t>Table 1
Expedited Permitting Projects (Please add rows as required)</t>
  </si>
  <si>
    <t xml:space="preserve">Click here to view a sample version of this table. </t>
  </si>
  <si>
    <t>Is this a new acquisition?</t>
  </si>
  <si>
    <t xml:space="preserve">4) Have there been any changes to your vehicle inventory since the last annual report? </t>
  </si>
  <si>
    <r>
      <t xml:space="preserve">Table 6: </t>
    </r>
    <r>
      <rPr>
        <b/>
        <i/>
        <sz val="11"/>
        <rFont val="Arial"/>
        <family val="2"/>
      </rPr>
      <t>SAMPLE</t>
    </r>
    <r>
      <rPr>
        <b/>
        <sz val="11"/>
        <rFont val="Arial"/>
        <family val="2"/>
      </rPr>
      <t xml:space="preserve"> Vehicle Inventory</t>
    </r>
  </si>
  <si>
    <t>Click here to return to Table 6</t>
  </si>
  <si>
    <t>NR</t>
  </si>
  <si>
    <t>RR</t>
  </si>
  <si>
    <t>C</t>
  </si>
  <si>
    <r>
      <t xml:space="preserve">6) Submit your community's full Excel file electronically as Excel via the online system with any other supporting files.  </t>
    </r>
    <r>
      <rPr>
        <b/>
        <i/>
        <sz val="10"/>
        <rFont val="Arial"/>
        <family val="2"/>
      </rPr>
      <t>This page must be signed, made into a PDF, and submitted as a separate file.</t>
    </r>
    <r>
      <rPr>
        <sz val="10"/>
        <rFont val="Arial"/>
        <family val="2"/>
      </rPr>
      <t xml:space="preserve">Please submit only </t>
    </r>
    <r>
      <rPr>
        <b/>
        <sz val="10"/>
        <rFont val="Arial"/>
        <family val="2"/>
      </rPr>
      <t>one Excel file</t>
    </r>
    <r>
      <rPr>
        <sz val="10"/>
        <rFont val="Arial"/>
        <family val="2"/>
      </rPr>
      <t xml:space="preserve"> for the annual report. DOER will not accept multiple spreadsheets</t>
    </r>
  </si>
  <si>
    <t xml:space="preserve">Site Type </t>
  </si>
  <si>
    <t xml:space="preserve">Renewable Energy Project Type </t>
  </si>
  <si>
    <t>3) Did you install electric vehicle charging stations?</t>
  </si>
  <si>
    <t>4) Did you implement anti-idling technology and/or campaigns?</t>
  </si>
  <si>
    <t>5) Did you implement a driving monitoring system that records miles driven and/or fuel consumption?</t>
  </si>
  <si>
    <t>6) Did you implement a fuel use reporting system for operators on fuel efficiency?</t>
  </si>
  <si>
    <t xml:space="preserve">2) Did you update your vehicle policy this year? </t>
  </si>
  <si>
    <t>Table 7
Stretch Code Projects (Add more rows as necessary)</t>
  </si>
  <si>
    <r>
      <t xml:space="preserve">If filing for the first time, please fill out the table below and add rows as as needed.  Please list in Table below all residential and commercial projects that were affected by the Stretch Code and for which building permits have been issued since the Stretch Code became the sole effective code, along with accompanying information noted below.  If a previous Annual Report was filed, your table from the previous report is provided below for updating.   </t>
    </r>
    <r>
      <rPr>
        <b/>
        <sz val="10"/>
        <rFont val="Arial"/>
        <family val="2"/>
      </rPr>
      <t xml:space="preserve">For notes on Certificate of Occupancy: if New Residential (NR), provide final HERS Rating; If Residential Retrofit (RR) provide HERS rating OR "P" for Prescriptive; If Commercial and &gt; 100K sq ft, note percent energy savings relative to ASHRAE 90.1-2007. </t>
    </r>
  </si>
  <si>
    <r>
      <rPr>
        <b/>
        <sz val="10"/>
        <rFont val="Arial"/>
        <family val="2"/>
      </rPr>
      <t>8) For communities that met Criterion 4 through alternative compliance</t>
    </r>
    <r>
      <rPr>
        <sz val="10"/>
        <rFont val="Arial"/>
        <family val="2"/>
      </rPr>
      <t>, provide a narrative in the space below of the policies and programs that have been adopted to reduce fuel consumption.</t>
    </r>
  </si>
  <si>
    <r>
      <t xml:space="preserve">8b) </t>
    </r>
    <r>
      <rPr>
        <b/>
        <sz val="10"/>
        <rFont val="Arial"/>
        <family val="2"/>
      </rPr>
      <t>For communities that met Criterion 4 through alternative compliance</t>
    </r>
    <r>
      <rPr>
        <sz val="10"/>
        <rFont val="Arial"/>
        <family val="2"/>
      </rPr>
      <t>, provide as a status regarding the success of these programs and policies.</t>
    </r>
  </si>
  <si>
    <t>Have there been any new building permits since the Strech Code became sole effective code?</t>
  </si>
  <si>
    <r>
      <t xml:space="preserve">If your community uses MassEnergyInsight (MEI) to provide data for Table 3, provide the date the information in MassEnergyInsight was last verified. By including a date below, you are </t>
    </r>
    <r>
      <rPr>
        <b/>
        <sz val="10"/>
        <rFont val="Arial"/>
        <family val="2"/>
      </rPr>
      <t>confirming that the information in MEI is accurate and complete (including all fuels and renewable energy)</t>
    </r>
    <r>
      <rPr>
        <sz val="10"/>
        <rFont val="Arial"/>
        <family val="2"/>
      </rPr>
      <t xml:space="preserve"> and that you wish to report your Green Community annual energy usage directly through MEI. If your community does not use MEI, please complete “Crit 3 - Tbl 3  Non-MEI User Only." </t>
    </r>
  </si>
  <si>
    <t>If your community uses an Energy Management Services (EMS) Agreement, your EMS annual report may be used to fulfill your Green Communities Annual Report Table 4 requirement. Please provide the date it was filed with DOER, or the date it will be filed if filing is anticipated in the next six months. Other efficiency measures undertaken independently of the performance contract should be reported using Table 4. All other portions of the Green Communities Annual Report must be completed.</t>
  </si>
  <si>
    <r>
      <rPr>
        <sz val="10"/>
        <rFont val="Arial"/>
        <family val="2"/>
      </rPr>
      <t xml:space="preserve">Please describe any building stock changes that have occurred since your GC baseline year. Include the year any whether any changes are a replacement, addition, removal or renovation. Include any changes in square footage for additions. </t>
    </r>
    <r>
      <rPr>
        <u/>
        <sz val="10"/>
        <color indexed="12"/>
        <rFont val="Arial"/>
        <family val="2"/>
      </rPr>
      <t>Link to Appendix A in the ERP Guidance.</t>
    </r>
  </si>
  <si>
    <t>Comprehensive</t>
  </si>
  <si>
    <t>Other</t>
  </si>
  <si>
    <t>Abandoned</t>
  </si>
  <si>
    <t>Project is not completed and will no longer be pursued.</t>
  </si>
  <si>
    <t xml:space="preserve">COMBINED MPG Rating </t>
  </si>
  <si>
    <t>see vehicle on line 8 now deleted</t>
  </si>
  <si>
    <t>Year 6 MMBtu</t>
  </si>
  <si>
    <t>Year 7 MMBtu</t>
  </si>
  <si>
    <t>Category</t>
  </si>
  <si>
    <t>Building/Site Name</t>
  </si>
  <si>
    <t>Large-scale retrofit of the entire building or multiple systems. Examples: building renovations, lighting + HVAC + EMS</t>
  </si>
  <si>
    <t>Use this only if types above do not fit</t>
  </si>
  <si>
    <r>
      <rPr>
        <b/>
        <sz val="10"/>
        <rFont val="Arial"/>
        <family val="2"/>
      </rPr>
      <t>PLEASE NOTE:</t>
    </r>
    <r>
      <rPr>
        <sz val="10"/>
        <rFont val="Arial"/>
        <family val="2"/>
      </rPr>
      <t xml:space="preserve">  For a municipality designated December 2012, the reporting period is 18 months, Jan 1 2013 - June 30 2014</t>
    </r>
  </si>
  <si>
    <t>Criterion 3 Instructions: Complete Steps 1-7 Below</t>
  </si>
  <si>
    <t xml:space="preserve">7) Any other policies and/or technologies not listed above? Please estimate annual fuel savings from each new technology or policy in the yellow box below. Also please attach any new vehicle policies and technologies adopted by the municipality to this annual report. </t>
  </si>
  <si>
    <r>
      <rPr>
        <b/>
        <sz val="10"/>
        <rFont val="Arial"/>
        <family val="2"/>
      </rPr>
      <t>5) Please provide the most current vehicle inventory that includes ALL vehicles</t>
    </r>
    <r>
      <rPr>
        <sz val="10"/>
        <rFont val="Arial"/>
        <family val="2"/>
      </rPr>
      <t xml:space="preserve"> (Both exempt and non-exempt) for ALL departments, including schools. Please do not report any exempt off-road vehicles, trailers, etc. The inventory submitted with either your most recent Annual Report filing or, if filing for the first time, submitted with your designation application, is either contained in the next worksheet, "Crit 4 - Table 6 Vehicle Inv.," or provided as  separate file.   In the inventory, 1) note in column L if a vehicle has been acquired since the last annual report, 2)  if yes, note what the newly acquired vehicle replaced in the inventory in column M, and 3) note in column N if the vehicle has been retired. NOTE: For the purposes of the program, municipalities must use the EPA combined fuel economy estimate listed at FuelEconomy.gov and ensure that the rating greater than or equal to the requirement for the relevant vehicle type. </t>
    </r>
  </si>
  <si>
    <t>Update your RE projects in Table 5 by: 1) changing any status dates, 2) adding, in bold, any new RE projects, and 3) drawing a line through any RE projects that have been abandoned.</t>
  </si>
  <si>
    <t>Update your ECMs in Table 4 by: 1) changing the status and status date for any ECMs already included, 2) adding any new ECMs, 3) and providing an ECM type in Column F.</t>
  </si>
  <si>
    <t>10)  Fields highlighted in green have been pre-populated by the Regional Coordinators</t>
  </si>
  <si>
    <r>
      <t xml:space="preserve">1) In order for a municipality to maintain its Green Community Designation and be eligible for the next available Green Communities funding opportunity, annual reports must be submitted </t>
    </r>
    <r>
      <rPr>
        <b/>
        <i/>
        <sz val="10"/>
        <rFont val="Arial"/>
        <family val="2"/>
      </rPr>
      <t>no later than December 5, 2014 for the reporting period July 1, 2012 – June 30, 2014</t>
    </r>
    <r>
      <rPr>
        <sz val="10"/>
        <rFont val="Arial"/>
        <family val="2"/>
      </rPr>
      <t xml:space="preserve">. (since you did not file last year, we need two years worth of data) Late reports will deem a community ineligible. </t>
    </r>
  </si>
  <si>
    <t>Harvard</t>
  </si>
  <si>
    <t>Generation, Solar</t>
  </si>
  <si>
    <t>FY 2009</t>
  </si>
  <si>
    <t>FY 2010</t>
  </si>
  <si>
    <t>FY 2011</t>
  </si>
  <si>
    <t>FY 2013</t>
  </si>
  <si>
    <t>FY 2014</t>
  </si>
  <si>
    <t>FY 2015</t>
  </si>
  <si>
    <t>FY 2012</t>
  </si>
  <si>
    <t>Harvard Elementary System</t>
  </si>
  <si>
    <t>Solar Photovoltaic Roof Mounted
system</t>
  </si>
  <si>
    <t>4.3 kW</t>
  </si>
  <si>
    <t>Commonwealth Solar II  MTC $5000
Clean Energy Center $35707</t>
  </si>
  <si>
    <t>Actual</t>
  </si>
  <si>
    <t>kWhr @ current electric rate of $0.15/kWhr</t>
  </si>
  <si>
    <t>Table 6
Sample Vehicle Inventory</t>
  </si>
  <si>
    <t>Dept</t>
  </si>
  <si>
    <t>GVWR &gt; 8500 pounds?  (Y or N)</t>
  </si>
  <si>
    <t>E  Exempt
NE  Non-Exempt</t>
  </si>
  <si>
    <t>License Plate  or 
VIN</t>
  </si>
  <si>
    <t>Year / Make</t>
  </si>
  <si>
    <t>Model / Type</t>
  </si>
  <si>
    <t>Service Date</t>
  </si>
  <si>
    <t>Drive System
2WD, 4WD, AWD</t>
  </si>
  <si>
    <t>Required EPA Combined MPG</t>
  </si>
  <si>
    <t>EPA City/Hwy/Combined MPG</t>
  </si>
  <si>
    <t>Mileage
(as of Date)</t>
  </si>
  <si>
    <t>Annual Miles Driven</t>
  </si>
  <si>
    <t>Replacement Schedule Interval</t>
  </si>
  <si>
    <t>Planned Replacement Year</t>
  </si>
  <si>
    <t>Non-Exempt Vehicles</t>
  </si>
  <si>
    <t>DPW</t>
  </si>
  <si>
    <t>2000 Chevrolet</t>
  </si>
  <si>
    <t>GMT400 Pickup</t>
  </si>
  <si>
    <t>5k</t>
  </si>
  <si>
    <t>FY15</t>
  </si>
  <si>
    <t>Schools</t>
  </si>
  <si>
    <t>2001 Chevrolet</t>
  </si>
  <si>
    <t>Tahoe K1500</t>
  </si>
  <si>
    <t>1k</t>
  </si>
  <si>
    <t>Fire</t>
  </si>
  <si>
    <t>Administrative</t>
  </si>
  <si>
    <t>MF9791
1FMEU73E09UA15335</t>
  </si>
  <si>
    <t>2009 Ford</t>
  </si>
  <si>
    <t>Explorer 6 cyl</t>
  </si>
  <si>
    <t>8 years</t>
  </si>
  <si>
    <t>FY16</t>
  </si>
  <si>
    <t>Exempt Vehicles - The Police Cruisers below  are considered Exempt but will become Non-Exempt if a high efficiency option becomes available.</t>
  </si>
  <si>
    <t>Police</t>
  </si>
  <si>
    <t>Police Cruiser</t>
  </si>
  <si>
    <t>2008 Ford</t>
  </si>
  <si>
    <t>Taurus</t>
  </si>
  <si>
    <t>18/28</t>
  </si>
  <si>
    <t>25k</t>
  </si>
  <si>
    <t>4 years</t>
  </si>
  <si>
    <t>Patrol Car 1</t>
  </si>
  <si>
    <t>3643 lbs</t>
  </si>
  <si>
    <t>MP66
2FABP7BV5BX180673</t>
  </si>
  <si>
    <t>2012 Ford</t>
  </si>
  <si>
    <t>16/24</t>
  </si>
  <si>
    <t>FY18</t>
  </si>
  <si>
    <t>Patrol Car 2</t>
  </si>
  <si>
    <t>4129 lbs</t>
  </si>
  <si>
    <t>Flex Fuel</t>
  </si>
  <si>
    <t>MP67
1FMJU1G55AE60438</t>
  </si>
  <si>
    <t>2010 Ford</t>
  </si>
  <si>
    <t>Expedition</t>
  </si>
  <si>
    <t>16/20</t>
  </si>
  <si>
    <t>Patrol Car 3</t>
  </si>
  <si>
    <t>7239 lbs</t>
  </si>
  <si>
    <t>MP15
2B3CL1CT7BH587510</t>
  </si>
  <si>
    <t>2011 Dodge</t>
  </si>
  <si>
    <t>Charger</t>
  </si>
  <si>
    <t>16/25</t>
  </si>
  <si>
    <t>FY17</t>
  </si>
  <si>
    <t>Patrol Car 4</t>
  </si>
  <si>
    <t>4253 lbs</t>
  </si>
  <si>
    <t>MP441D
1FMEU7DEXAUA28127</t>
  </si>
  <si>
    <t>Explorer</t>
  </si>
  <si>
    <t>14/20</t>
  </si>
  <si>
    <t>Patrol Car 5</t>
  </si>
  <si>
    <t>5995 lbs</t>
  </si>
  <si>
    <t>Y 
10400 lbs</t>
  </si>
  <si>
    <t>M85010
1FTRF3B64BEB15196</t>
  </si>
  <si>
    <t>2011 Ford</t>
  </si>
  <si>
    <t>F-350 SRWSUP</t>
  </si>
  <si>
    <t>4k</t>
  </si>
  <si>
    <t>&gt; 10 years</t>
  </si>
  <si>
    <t>Not Planned</t>
  </si>
  <si>
    <t>Antique</t>
  </si>
  <si>
    <t xml:space="preserve">Y  </t>
  </si>
  <si>
    <t>MF5121
61455</t>
  </si>
  <si>
    <t>Suburbanite</t>
  </si>
  <si>
    <t>MF1691
B85F1501</t>
  </si>
  <si>
    <t>1965 MACK</t>
  </si>
  <si>
    <t>Pumper</t>
  </si>
  <si>
    <t>Tanker</t>
  </si>
  <si>
    <t>MF6399
1M2P198C4KW003834</t>
  </si>
  <si>
    <t>1989 MACK</t>
  </si>
  <si>
    <t>RD690S Tanker</t>
  </si>
  <si>
    <t>Engine 2</t>
  </si>
  <si>
    <t>MF7568
4P1CT02M6XA000939</t>
  </si>
  <si>
    <t>1999 PIERCE</t>
  </si>
  <si>
    <t>FY19</t>
  </si>
  <si>
    <t>Engine 3</t>
  </si>
  <si>
    <t>MF8611
1HTSEADR22H532902</t>
  </si>
  <si>
    <t>2002 International</t>
  </si>
  <si>
    <t>KME Fire Truck</t>
  </si>
  <si>
    <t>Engine 1</t>
  </si>
  <si>
    <t>MF3349
1F9EA28TX5CST2028</t>
  </si>
  <si>
    <t>2005 SEAGRAVE</t>
  </si>
  <si>
    <t>Truck-AB40KF</t>
  </si>
  <si>
    <t>FY20</t>
  </si>
  <si>
    <t>Forestry</t>
  </si>
  <si>
    <t>MF6396
1FDUF5HT9BEA26982</t>
  </si>
  <si>
    <t>2011 FORD</t>
  </si>
  <si>
    <t>F-550 SD</t>
  </si>
  <si>
    <t>FY26</t>
  </si>
  <si>
    <t>Engine 4</t>
  </si>
  <si>
    <t>MFA591
1K9AF4286CN058397</t>
  </si>
  <si>
    <t>2012 KME</t>
  </si>
  <si>
    <t>FY27</t>
  </si>
  <si>
    <t>D-3</t>
  </si>
  <si>
    <t>Y
37060</t>
  </si>
  <si>
    <t>1999 Mack</t>
  </si>
  <si>
    <t>DUMP W/ SANDER AND PLOW</t>
  </si>
  <si>
    <t>D-1</t>
  </si>
  <si>
    <t>M67677
1M2P263C23M034354</t>
  </si>
  <si>
    <t>2003 Mack</t>
  </si>
  <si>
    <t>D-2</t>
  </si>
  <si>
    <t>M66839
1M2P288C82M034099</t>
  </si>
  <si>
    <t>2002 Mack</t>
  </si>
  <si>
    <t>D-4</t>
  </si>
  <si>
    <t>M57377
1FDYN90T6WVA35510</t>
  </si>
  <si>
    <t>1998 Ford</t>
  </si>
  <si>
    <t>DUMP W/ PLOW</t>
  </si>
  <si>
    <t>D-5</t>
  </si>
  <si>
    <t>M44263
1M2P288C9TM019953</t>
  </si>
  <si>
    <t>1996 Mack</t>
  </si>
  <si>
    <t>D-6</t>
  </si>
  <si>
    <t>Y
45120</t>
  </si>
  <si>
    <t>M85129
1HTGPSHR7CJ451565</t>
  </si>
  <si>
    <t>2012 International</t>
  </si>
  <si>
    <t>DUMP W/SANDER AND PLOW</t>
  </si>
  <si>
    <t>CB-1</t>
  </si>
  <si>
    <t>Y
29800</t>
  </si>
  <si>
    <t>M40610
1HTSDZZNSLH690434</t>
  </si>
  <si>
    <t>1990 International</t>
  </si>
  <si>
    <t>CB CLEANER / PLOW</t>
  </si>
  <si>
    <t>T-1</t>
  </si>
  <si>
    <t>Y
10000</t>
  </si>
  <si>
    <t>M82676
1FTWF3B59AEB36070</t>
  </si>
  <si>
    <t>Md. F-350 PICK-UP (4x4) W/PLOW</t>
  </si>
  <si>
    <t>T-2</t>
  </si>
  <si>
    <t>Y
9200</t>
  </si>
  <si>
    <t>M74596
1GCHK24264E358037</t>
  </si>
  <si>
    <t>2004 Chevrolet</t>
  </si>
  <si>
    <t>Md. 2500 HD - PICK-UP (4x4) W/ PLOW</t>
  </si>
  <si>
    <t>2003 Chevrolet</t>
  </si>
  <si>
    <t>T-3</t>
  </si>
  <si>
    <t>Y
17950</t>
  </si>
  <si>
    <t>M84094
1FDUF5HT9CEB43463</t>
  </si>
  <si>
    <t>Md. F-550 - 1-TON DUMP (4x4) W/PLOW</t>
  </si>
  <si>
    <t>T-4</t>
  </si>
  <si>
    <t>M77575
1FDAF57Y78ED32796</t>
  </si>
  <si>
    <t>Md. F-550 - 1-TON DUMP (4x4) W/ PLOW &amp; SANDER</t>
  </si>
  <si>
    <t>T-5</t>
  </si>
  <si>
    <t>M85021
1FDUF5HYXBEB41974</t>
  </si>
  <si>
    <t>Md. F-550 - 1-TON DUMP (4x4) W/ PLOW</t>
  </si>
  <si>
    <t>T-6</t>
  </si>
  <si>
    <t>M79340
1FDAF57Y36ED70104</t>
  </si>
  <si>
    <t>2006 Ford</t>
  </si>
  <si>
    <t>L-1</t>
  </si>
  <si>
    <t>Y
24000</t>
  </si>
  <si>
    <t>M65647
9SW01035</t>
  </si>
  <si>
    <t>2000 Caterpillar</t>
  </si>
  <si>
    <t>Md. 924G - FRONT END LOADER</t>
  </si>
  <si>
    <t>EXC-1</t>
  </si>
  <si>
    <t>Y
11000</t>
  </si>
  <si>
    <t>FF050DX270655</t>
  </si>
  <si>
    <t>2009 Deere</t>
  </si>
  <si>
    <t>Md. 50 D - MINI-EXCAVATOR</t>
  </si>
  <si>
    <t>BH-1</t>
  </si>
  <si>
    <t>Y
24700</t>
  </si>
  <si>
    <t>1996 Deere</t>
  </si>
  <si>
    <t>S-1</t>
  </si>
  <si>
    <t>Y
15500</t>
  </si>
  <si>
    <t>M60703
S8723S</t>
  </si>
  <si>
    <t>1999 Elgin</t>
  </si>
  <si>
    <t>Md. PELICAN SE - STREET SWEEPER</t>
  </si>
  <si>
    <t>MOTOR GRADER</t>
  </si>
  <si>
    <t>1997</t>
  </si>
  <si>
    <t>Ann Lees Rd (037) Lot 30</t>
  </si>
  <si>
    <t>Whitney Rd (075) Lot 2</t>
  </si>
  <si>
    <t>Westcott Rd (064)</t>
  </si>
  <si>
    <t>Cove Rd (024)</t>
  </si>
  <si>
    <t>S. Shaker Rd (010)</t>
  </si>
  <si>
    <t>Mass Ave (086) Lot 2b</t>
  </si>
  <si>
    <t>Tahanto Trail (019)</t>
  </si>
  <si>
    <t>Mill Rd (031) Lot 2</t>
  </si>
  <si>
    <t>Harvard's policy does reflect the most recent guidance.</t>
  </si>
  <si>
    <t>DATE:                                          Nov 2014</t>
  </si>
  <si>
    <t>DATE:                                          NA</t>
  </si>
  <si>
    <t>Brian Smith</t>
  </si>
  <si>
    <t>Chairman, Energy Advisory Committee</t>
  </si>
  <si>
    <t>13/19/16</t>
  </si>
  <si>
    <t xml:space="preserve">67,111
(Dec 2014)
</t>
  </si>
  <si>
    <t>7k</t>
  </si>
  <si>
    <t>73313
1FM5K8ARXEGA70952</t>
  </si>
  <si>
    <t>2014 Ford</t>
  </si>
  <si>
    <t>15,700
(Dec 2014)</t>
  </si>
  <si>
    <t>39,476
(Dec 2014)</t>
  </si>
  <si>
    <t>19k</t>
  </si>
  <si>
    <t>71,397
(Dec 2014)</t>
  </si>
  <si>
    <t>12K</t>
  </si>
  <si>
    <t>41,500
(Dec. 2014)</t>
  </si>
  <si>
    <t>10k</t>
  </si>
  <si>
    <t>65,756
(Dec 2014)</t>
  </si>
  <si>
    <t>15K</t>
  </si>
  <si>
    <t>1FAHP27W28G1185603</t>
  </si>
  <si>
    <t>Oct-08</t>
  </si>
  <si>
    <t>Pickup              with Plow</t>
  </si>
  <si>
    <t>M67344  1GBJK34UX3E345271</t>
  </si>
  <si>
    <t>Md. 3500 HD 1-Ton Dump with Plow</t>
  </si>
  <si>
    <t>Sep-03</t>
  </si>
  <si>
    <t>4x4</t>
  </si>
  <si>
    <t>56,292   (Dec '14)</t>
  </si>
  <si>
    <t>3k</t>
  </si>
  <si>
    <t>10 years</t>
  </si>
  <si>
    <t>Transferred from DPW</t>
  </si>
  <si>
    <t>7,021
(Dec '14)</t>
  </si>
  <si>
    <t>Chef Paul's Van</t>
  </si>
  <si>
    <t>M81044    1FTSE34L68DA14425</t>
  </si>
  <si>
    <t>Md. E350   Cargo Van</t>
  </si>
  <si>
    <t>Dec-07</t>
  </si>
  <si>
    <t>25,700   (Dec '14)</t>
  </si>
  <si>
    <t>1GNEK13V61J264355</t>
  </si>
  <si>
    <t>2001</t>
  </si>
  <si>
    <t>1930     SEAGRAVES</t>
  </si>
  <si>
    <t>3,201 
(Dec '14)</t>
  </si>
  <si>
    <t>Reserve      Engine 1</t>
  </si>
  <si>
    <t>44,513
(Dec '14)</t>
  </si>
  <si>
    <t>14,109
(Dec '14)</t>
  </si>
  <si>
    <t>21,374
(Dec '14)</t>
  </si>
  <si>
    <t>10,706
(Dec '14)</t>
  </si>
  <si>
    <t>13,462 
(Dec '14)</t>
  </si>
  <si>
    <t>2,728 
(Dec '14)</t>
  </si>
  <si>
    <t>1,933
(Dec '14)</t>
  </si>
  <si>
    <t>Harvard                      Ambulance                    Squad</t>
  </si>
  <si>
    <t>Ambulance</t>
  </si>
  <si>
    <t>M52095   LGBE4V1947F425799</t>
  </si>
  <si>
    <t>2007 Chevy</t>
  </si>
  <si>
    <t>C4500</t>
  </si>
  <si>
    <t>Mar-08</t>
  </si>
  <si>
    <t>47,539 (Dec '14)</t>
  </si>
  <si>
    <t>T-7</t>
  </si>
  <si>
    <t>M92462  1FTRF3B69EEB47310</t>
  </si>
  <si>
    <t>Md. F-350 PICK-UP W/ PLOW</t>
  </si>
  <si>
    <t>Oct-14</t>
  </si>
  <si>
    <t>M60708     1M2P288C3XM028136</t>
  </si>
  <si>
    <t>Transferred (back) from Schools to DPW</t>
  </si>
  <si>
    <t>37,859  (Dec '14)</t>
  </si>
  <si>
    <t>L-2</t>
  </si>
  <si>
    <t>M3918  1DW544KZVEE663474</t>
  </si>
  <si>
    <t>2014 Deere</t>
  </si>
  <si>
    <t>Md. 544K FRONT END LOADER</t>
  </si>
  <si>
    <t>M3913
1T0310EKKEG269746</t>
  </si>
  <si>
    <t xml:space="preserve">Md. 310EK LOADER/ BACKHOE </t>
  </si>
  <si>
    <t>11,788    (Dec '14)</t>
  </si>
  <si>
    <t>2000</t>
  </si>
  <si>
    <t>T0710DD822871</t>
  </si>
  <si>
    <t>Md. 710D LOADER/ BACKHOE</t>
  </si>
  <si>
    <t>1996</t>
  </si>
  <si>
    <t>JD670AG011027</t>
  </si>
  <si>
    <t>1982 Deere</t>
  </si>
  <si>
    <t xml:space="preserve">Note that at present DPW does not regularly maintain vehicle mileage records.  However, an improved fueling system for DPW vehicles is under consideration for approval at Annual Town Meeting that may make this more feasible.  </t>
  </si>
  <si>
    <t xml:space="preserve">Bromfield High School </t>
  </si>
  <si>
    <t>Lighting Efficiency Upgrade</t>
  </si>
  <si>
    <t>Town</t>
  </si>
  <si>
    <t>Lighting Contractor Audit</t>
  </si>
  <si>
    <t>Mechanical Upgrades - Boiler HW VSDs, Pneumatic Controls Conversion</t>
  </si>
  <si>
    <t>(Ngrid WBA) B2Q Audit Nov-08</t>
  </si>
  <si>
    <t>Mechanical Upgrades - DCV, BAS Upgrade, Retrocommissioning, RTU Fan VSDs</t>
  </si>
  <si>
    <t xml:space="preserve">Hildreth Elementary School </t>
  </si>
  <si>
    <t>(ECM1) DCV, Building Automation System &amp; Retrocommissioning</t>
  </si>
  <si>
    <t>Replace two burners and one boiler; conversion to gas.</t>
  </si>
  <si>
    <t>Based on Heating Contractor Estimate</t>
  </si>
  <si>
    <t>Boiler HW VSDs and Digital Controls</t>
  </si>
  <si>
    <t>DPW, Town Hall, Old Library, Police, Bromfield House</t>
  </si>
  <si>
    <t>Lighting Contractor Audit 2010</t>
  </si>
  <si>
    <t>Recommission EMS</t>
  </si>
  <si>
    <t>DOER EED Audit Report 2009</t>
  </si>
  <si>
    <t>(ECM4a) HVAC/BAS upgrade</t>
  </si>
  <si>
    <t>Boilers Replacement</t>
  </si>
  <si>
    <t>Fire Station</t>
  </si>
  <si>
    <t>(ECM5) Boiler Replacement</t>
  </si>
  <si>
    <t>Insulation</t>
  </si>
  <si>
    <t>Fire Station and Hildreth House</t>
  </si>
  <si>
    <t>Lighting Contractor Audit 2011</t>
  </si>
  <si>
    <t>HVAC System Replacement/ Insulation</t>
  </si>
  <si>
    <t>Old Library</t>
  </si>
  <si>
    <t>Hildreth House</t>
  </si>
  <si>
    <t>Town Hall &amp; Fire Station</t>
  </si>
  <si>
    <t>Heating Controls - TH Heat Zones; 
FS Door Timer &amp; Thermostats</t>
  </si>
  <si>
    <t>Weatherization; Air Sealing and Insulation</t>
  </si>
  <si>
    <t>Rough Estimate based on 20% savings of FY12 usage and costs, 5 year payback</t>
  </si>
  <si>
    <t>Highway Dept Buildings</t>
  </si>
  <si>
    <t>New Library</t>
  </si>
  <si>
    <t>Still River Fire Station</t>
  </si>
  <si>
    <t>Bromfield House</t>
  </si>
  <si>
    <t>Q4 2016</t>
  </si>
  <si>
    <t>Q4 2015</t>
  </si>
  <si>
    <r>
      <t xml:space="preserve">HVAC System Replacement/ </t>
    </r>
    <r>
      <rPr>
        <strike/>
        <sz val="11"/>
        <rFont val="Arial"/>
        <family val="2"/>
      </rPr>
      <t>Insulation</t>
    </r>
  </si>
  <si>
    <t>Library</t>
  </si>
  <si>
    <t>Based on Leominster Plumbing and Heating Quote, HEAC Calc and Mfr Specs</t>
  </si>
  <si>
    <t>VSDs for Hot Water Circulating Pumps</t>
  </si>
  <si>
    <t>Hallway Lighting Occupancy Sensors</t>
  </si>
  <si>
    <t>Exterior Lighting Upgrade</t>
  </si>
  <si>
    <t>Q4 2014</t>
  </si>
  <si>
    <t>Exterior Lighting</t>
  </si>
  <si>
    <t>Q2 2016</t>
  </si>
  <si>
    <t>Monitoring Project - Peregrine</t>
  </si>
  <si>
    <t>Bromfield and Hildreth Schools</t>
  </si>
  <si>
    <t xml:space="preserve">Boiler Replacememt / Gas Conversion </t>
  </si>
  <si>
    <t>Water/Sewer/Pumping</t>
  </si>
  <si>
    <t>Guardian Audit Report</t>
  </si>
  <si>
    <t>Peregrine Proposal</t>
  </si>
  <si>
    <t>Guardian Proposal</t>
  </si>
  <si>
    <t>VSD for AHU (Vol Hall)</t>
  </si>
  <si>
    <t>Guardian Audit Report - Actual costs TBD</t>
  </si>
  <si>
    <t>HEAC Estimate; Quote in progress.</t>
  </si>
  <si>
    <t>The Cable TV Studio was moved from the Old Library to the Bromfield High School.   The cable studio was moved to an area that was conditioned but will be using more energy that the existing use.   The energy use would be expected to be lower in the Old Library after the cable studio moved but there was an increase in the Old Library for 2013 and 2014 due to use of the building for the community Center on the Common project.</t>
  </si>
  <si>
    <t>Lovers Ln (018)</t>
  </si>
  <si>
    <t>Old Littleton Rd (062) Lot 2</t>
  </si>
  <si>
    <t>W. Bare Hill Rd (025) Lot 42</t>
  </si>
  <si>
    <t>Penninsula Rd (031)</t>
  </si>
  <si>
    <t>TBD</t>
  </si>
  <si>
    <t>Old Mill Rd (117) Lot 2</t>
  </si>
  <si>
    <t>Trail Ridge Dr (003A/B)</t>
  </si>
  <si>
    <t>Trail Ridge Dr (003C/D)</t>
  </si>
  <si>
    <t>Penninsula Drive (037)</t>
  </si>
  <si>
    <t>Old Littleton Rd (085)</t>
  </si>
  <si>
    <t>Prospect Hill Rd (105)</t>
  </si>
  <si>
    <t>Trail Ridge Way (013 AB)</t>
  </si>
  <si>
    <t>Trail Ridge Way (013 CD)</t>
  </si>
  <si>
    <t>two properties behind 285 Ayer Road in the Commercial District to allow the Harvard Community Solar Garden to construct a 500kW Photovoltaic array.</t>
  </si>
  <si>
    <t>285 Ayer Road</t>
  </si>
  <si>
    <t>Renewable Energy Solar Photovoltaic Generation</t>
  </si>
  <si>
    <t>Harvard Solar Garden Project 1, LLC</t>
  </si>
  <si>
    <t>Building, Electrical</t>
  </si>
  <si>
    <t>See note below.</t>
  </si>
  <si>
    <t>Tim Bragan</t>
  </si>
  <si>
    <t>Town Administrator</t>
  </si>
  <si>
    <t>Town of Harvard MA</t>
  </si>
  <si>
    <t>Solar Garden 1</t>
  </si>
  <si>
    <t>294 kW Solar PV Array, Communiity Shared Solar</t>
  </si>
  <si>
    <t>1.  At the August 29, 2012 Town Meeting, the Town's Large Scale Ground Mounted Solar PV Facilities Overlay District was extended to add  two properties behind 285 Ayer Road in the Commercial District to allow the Harvard Community Solar Garden to construct a 500kW Photovoltaic array.  Solar Garden 1 and Solar Garden 2 are two "Gardens", for electrical power generation mostly to local/regional residential customers.</t>
  </si>
  <si>
    <t>Solar Garden 2</t>
  </si>
  <si>
    <t>Harvard Solar Garden Project 2, LLC</t>
  </si>
  <si>
    <t>230 kW Solar PV Array, Communiity Shared Solar</t>
  </si>
  <si>
    <t>NARRATIVE: 
1. Vehicle fuel energy use increased for all years.  During the last annual report update, all of the fuel usage was updated to break down gasoline and diesel fuel and it appears that the usage for each year increased as a result of this verification.
2. The increase in Building usage from FY12 to FY13 was due to a significant increase in heating fuel use at the Bromfield School.  The fuel usage increased 73% but the actual heating fuel usage adjusted for heating degree days increased by more than 50% over FY12.   The Energy Committee performed a detailed analysis, which points to an increase in setback temperature to prevent freezing pipes.  This has since been adjusted to lower settings.  The result for FY14 seems to reflect a decrease when adjusted for weather.
3. The Town sewer was expanded to include Town Center residences.</t>
  </si>
  <si>
    <t>% Reduction</t>
  </si>
  <si>
    <t>NARRATIVE:
The DPW has recommended to install an improved fuel use recording system that may help in our efforts to monitor usage.</t>
  </si>
  <si>
    <t>Harvard continued to push forward with “Harvard Solar Gardens”, a member-owned Community-Shared Solar facility (referenced in ”Criteria 1 &amp; 2" Row 19) designed to provide renewable energy to town residents and businesses, as well as other electric customers in National Grid’s WCMA load zone.
At the beginning of FY2014, several key issues remained to be resolved, most notably the question of local taxation - i.e. whether community-shared solar systems would be exempt from local taxation in the same manner as provided by MGL Ch 59 S5.45.
The question ultimately was decided at Annual Town Meeting, a Home Rule Petition requiring 2/3 majority: 
 ARTICLE 48: HOME RULE LEGISLATION - TO MAKE COMMUNITY SOLAR SHARES EXEMPT FROM LOCAL TAXATION”.  The article passed and was filed with the MA legislature,  signed into law on 11/19/14.
On June 27th, 2014, Harvard Solar Garden 1 went live.</t>
  </si>
  <si>
    <t>We have not been able to obtain any feedback about the Stretch Code.</t>
  </si>
  <si>
    <t>The portion of the Town's electric consumption supplied by renewable generation is onsite generation.  In FY14, 0.001% of the total Town electric consumption was produced by the solar panels on the Harvard Elementary School.  (6900 kWhr / 556302000 kWhr) There is no net metering credits of purchase of RECs.  Note that the Town of Harvard has is currently evaluating Net Metering Credit Purchase Agreements for possible implementation in FY15-FY16.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</si>
</sst>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quot;$&quot;#,##0"/>
    <numFmt numFmtId="165" formatCode="[$-409]mmmm\-yy;@"/>
    <numFmt numFmtId="166" formatCode="_(* #,##0.000_);_(* \(#,##0.000\);_(* &quot;-&quot;??_);_(@_)"/>
    <numFmt numFmtId="167" formatCode="_(* #,##0.000000_);_(* \(#,##0.000000\);_(* &quot;-&quot;??_);_(@_)"/>
    <numFmt numFmtId="168" formatCode="#,##0.000000"/>
    <numFmt numFmtId="169" formatCode="_(* #,##0.000000000_);_(* \(#,##0.000000000\);_(* &quot;-&quot;??_);_(@_)"/>
    <numFmt numFmtId="170" formatCode="_(* #,##0.0_);_(* \(#,##0.0\);_(* &quot;-&quot;??_);_(@_)"/>
    <numFmt numFmtId="171" formatCode="_(* #,##0_);_(* \(#,##0\);_(* &quot;-&quot;??_);_(@_)"/>
    <numFmt numFmtId="172" formatCode="[$-409]mmm\-yy;@"/>
    <numFmt numFmtId="173" formatCode="mm/dd/yy"/>
    <numFmt numFmtId="174" formatCode="_(&quot;$&quot;* #,##0_);_(&quot;$&quot;* \(#,##0\);_(&quot;$&quot;* &quot;-&quot;??_);_(@_)"/>
  </numFmts>
  <fonts count="6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sz val="8"/>
      <name val="Arial"/>
      <family val="2"/>
    </font>
    <font>
      <u/>
      <sz val="10"/>
      <color indexed="12"/>
      <name val="Arial"/>
      <family val="2"/>
    </font>
    <font>
      <sz val="10"/>
      <name val="Arial"/>
      <family val="2"/>
    </font>
    <font>
      <sz val="10"/>
      <name val="Calibri"/>
      <family val="2"/>
    </font>
    <font>
      <i/>
      <sz val="11"/>
      <name val="Arial"/>
      <family val="2"/>
    </font>
    <font>
      <i/>
      <u/>
      <sz val="10"/>
      <color indexed="12"/>
      <name val="Arial"/>
      <family val="2"/>
    </font>
    <font>
      <b/>
      <i/>
      <sz val="11"/>
      <name val="Arial"/>
      <family val="2"/>
    </font>
    <font>
      <b/>
      <sz val="10"/>
      <name val="Arial"/>
      <family val="2"/>
    </font>
    <font>
      <b/>
      <i/>
      <sz val="10"/>
      <name val="Arial"/>
      <family val="2"/>
    </font>
    <font>
      <sz val="8"/>
      <name val="Arial"/>
      <family val="2"/>
    </font>
    <font>
      <i/>
      <sz val="10"/>
      <name val="Arial"/>
      <family val="2"/>
    </font>
    <font>
      <b/>
      <sz val="12"/>
      <name val="Arial"/>
      <family val="2"/>
    </font>
    <font>
      <b/>
      <u/>
      <sz val="10"/>
      <name val="Arial"/>
      <family val="2"/>
    </font>
    <font>
      <b/>
      <sz val="11"/>
      <color indexed="10"/>
      <name val="Arial"/>
      <family val="2"/>
    </font>
    <font>
      <sz val="10"/>
      <color indexed="17"/>
      <name val="Arial"/>
      <family val="2"/>
    </font>
    <font>
      <b/>
      <sz val="12"/>
      <name val="Calibri"/>
      <family val="2"/>
    </font>
    <font>
      <sz val="12"/>
      <name val="Calibri"/>
      <family val="2"/>
    </font>
    <font>
      <u/>
      <sz val="12"/>
      <color indexed="12"/>
      <name val="Arial"/>
      <family val="2"/>
    </font>
    <font>
      <b/>
      <sz val="16"/>
      <name val="Arial"/>
      <family val="2"/>
    </font>
    <font>
      <sz val="11"/>
      <color theme="1"/>
      <name val="Calibri"/>
      <family val="2"/>
      <scheme val="minor"/>
    </font>
    <font>
      <sz val="14"/>
      <name val="Arial"/>
      <family val="2"/>
    </font>
    <font>
      <b/>
      <sz val="14"/>
      <name val="Calibri"/>
      <family val="2"/>
    </font>
    <font>
      <sz val="14"/>
      <name val="Calibri"/>
      <family val="2"/>
    </font>
    <font>
      <b/>
      <sz val="11"/>
      <color theme="1"/>
      <name val="Calibri"/>
      <family val="2"/>
      <scheme val="minor"/>
    </font>
    <font>
      <sz val="10"/>
      <color indexed="8"/>
      <name val="Arial"/>
      <family val="2"/>
    </font>
    <font>
      <b/>
      <sz val="28"/>
      <color indexed="8"/>
      <name val="Calibri"/>
      <family val="2"/>
      <scheme val="minor"/>
    </font>
    <font>
      <b/>
      <sz val="11"/>
      <color indexed="8"/>
      <name val="Calibri"/>
      <family val="2"/>
      <scheme val="minor"/>
    </font>
    <font>
      <sz val="11"/>
      <color indexed="8"/>
      <name val="Calibri"/>
      <family val="2"/>
      <scheme val="minor"/>
    </font>
    <font>
      <sz val="11"/>
      <color indexed="8"/>
      <name val="Calibri"/>
      <family val="2"/>
    </font>
    <font>
      <sz val="11"/>
      <color theme="1" tint="0.499984740745262"/>
      <name val="Calibri"/>
      <family val="2"/>
      <scheme val="minor"/>
    </font>
    <font>
      <sz val="11"/>
      <color theme="1" tint="0.499984740745262"/>
      <name val="Calibri"/>
      <family val="2"/>
    </font>
    <font>
      <b/>
      <sz val="24"/>
      <color theme="1"/>
      <name val="Calibri"/>
      <family val="2"/>
      <scheme val="minor"/>
    </font>
    <font>
      <sz val="11"/>
      <color rgb="FF1F497D"/>
      <name val="Calibri"/>
      <family val="2"/>
      <scheme val="minor"/>
    </font>
    <font>
      <u/>
      <sz val="11"/>
      <color theme="10"/>
      <name val="Calibri"/>
      <family val="2"/>
    </font>
    <font>
      <sz val="9"/>
      <color rgb="FF000000"/>
      <name val="Verdana"/>
      <family val="2"/>
    </font>
    <font>
      <b/>
      <sz val="10"/>
      <color rgb="FFFF0000"/>
      <name val="Arial"/>
      <family val="2"/>
    </font>
    <font>
      <b/>
      <sz val="16"/>
      <color rgb="FFFF0000"/>
      <name val="Arial"/>
      <family val="2"/>
    </font>
    <font>
      <b/>
      <sz val="12"/>
      <color rgb="FFFF0000"/>
      <name val="Arial"/>
      <family val="2"/>
    </font>
    <font>
      <b/>
      <sz val="14"/>
      <color rgb="FFFF0000"/>
      <name val="Arial"/>
      <family val="2"/>
    </font>
    <font>
      <b/>
      <i/>
      <sz val="14"/>
      <color rgb="FFFF0000"/>
      <name val="Arial"/>
      <family val="2"/>
    </font>
    <font>
      <b/>
      <sz val="11"/>
      <color rgb="FFFF0000"/>
      <name val="Arial"/>
      <family val="2"/>
    </font>
    <font>
      <b/>
      <i/>
      <sz val="11"/>
      <color rgb="FFFF0000"/>
      <name val="Arial"/>
      <family val="2"/>
    </font>
    <font>
      <b/>
      <u/>
      <sz val="10"/>
      <color indexed="12"/>
      <name val="Arial"/>
      <family val="2"/>
    </font>
    <font>
      <b/>
      <u/>
      <sz val="11"/>
      <color indexed="12"/>
      <name val="Arial"/>
      <family val="2"/>
    </font>
    <font>
      <sz val="10"/>
      <name val="Arial"/>
      <family val="2"/>
    </font>
    <font>
      <u/>
      <sz val="11"/>
      <color theme="10"/>
      <name val="Calibri"/>
      <family val="2"/>
      <scheme val="minor"/>
    </font>
    <font>
      <b/>
      <sz val="11"/>
      <color indexed="8"/>
      <name val="Calibri"/>
      <family val="2"/>
    </font>
    <font>
      <b/>
      <sz val="11"/>
      <name val="Calibri"/>
      <family val="2"/>
    </font>
    <font>
      <sz val="11"/>
      <color rgb="FF000000"/>
      <name val="Calibri"/>
      <family val="2"/>
    </font>
    <font>
      <sz val="11"/>
      <name val="Calibri"/>
      <family val="2"/>
    </font>
    <font>
      <sz val="11"/>
      <name val="Calibri"/>
      <family val="2"/>
      <scheme val="minor"/>
    </font>
    <font>
      <sz val="10"/>
      <color rgb="FFFF0000"/>
      <name val="Arial"/>
      <family val="2"/>
    </font>
    <font>
      <i/>
      <sz val="10"/>
      <color indexed="12"/>
      <name val="Arial"/>
      <family val="2"/>
    </font>
    <font>
      <i/>
      <sz val="10"/>
      <name val="Calibri"/>
      <family val="2"/>
    </font>
    <font>
      <strike/>
      <sz val="11"/>
      <name val="Arial"/>
      <family val="2"/>
    </font>
    <font>
      <i/>
      <sz val="11"/>
      <name val="Calibri"/>
      <family val="2"/>
    </font>
    <font>
      <strike/>
      <sz val="11"/>
      <name val="Cambria"/>
      <family val="1"/>
    </font>
    <font>
      <i/>
      <strike/>
      <sz val="11"/>
      <name val="Cambria"/>
      <family val="1"/>
    </font>
    <font>
      <i/>
      <strike/>
      <sz val="10"/>
      <name val="Cambria"/>
      <family val="1"/>
    </font>
    <font>
      <sz val="11"/>
      <name val="Cambria"/>
      <family val="1"/>
    </font>
    <font>
      <b/>
      <i/>
      <sz val="10"/>
      <name val="Calibri"/>
      <family val="2"/>
    </font>
    <font>
      <sz val="10"/>
      <name val="Arial"/>
    </font>
  </fonts>
  <fills count="24">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55"/>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1" tint="0.499984740745262"/>
        <bgColor indexed="64"/>
      </patternFill>
    </fill>
    <fill>
      <patternFill patternType="solid">
        <fgColor theme="4" tint="0.79998168889431442"/>
        <bgColor indexed="0"/>
      </patternFill>
    </fill>
    <fill>
      <patternFill patternType="solid">
        <fgColor theme="7" tint="0.39997558519241921"/>
        <bgColor indexed="0"/>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99"/>
        <bgColor indexed="64"/>
      </patternFill>
    </fill>
    <fill>
      <patternFill patternType="solid">
        <fgColor rgb="FF008000"/>
        <bgColor indexed="64"/>
      </patternFill>
    </fill>
    <fill>
      <patternFill patternType="solid">
        <fgColor theme="0" tint="-4.9989318521683403E-2"/>
        <bgColor indexed="64"/>
      </patternFill>
    </fill>
    <fill>
      <patternFill patternType="solid">
        <fgColor rgb="FFCCCCF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5" tint="0.59999389629810485"/>
        <bgColor indexed="64"/>
      </patternFill>
    </fill>
    <fill>
      <patternFill patternType="solid">
        <fgColor rgb="FFD9D9D9"/>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rgb="FFA6A6A6"/>
      </left>
      <right style="medium">
        <color rgb="FFA6A6A6"/>
      </right>
      <top style="medium">
        <color rgb="FFA6A6A6"/>
      </top>
      <bottom style="medium">
        <color rgb="FFA6A6A6"/>
      </bottom>
      <diagonal/>
    </border>
    <border>
      <left/>
      <right style="medium">
        <color rgb="FFA6A6A6"/>
      </right>
      <top style="medium">
        <color rgb="FFA6A6A6"/>
      </top>
      <bottom style="medium">
        <color rgb="FFA6A6A6"/>
      </bottom>
      <diagonal/>
    </border>
    <border>
      <left style="medium">
        <color rgb="FFA6A6A6"/>
      </left>
      <right style="medium">
        <color rgb="FFA6A6A6"/>
      </right>
      <top/>
      <bottom style="medium">
        <color rgb="FFA6A6A6"/>
      </bottom>
      <diagonal/>
    </border>
    <border>
      <left/>
      <right style="medium">
        <color rgb="FFA6A6A6"/>
      </right>
      <top/>
      <bottom style="medium">
        <color rgb="FFA6A6A6"/>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2"/>
      </top>
      <bottom style="double">
        <color indexed="62"/>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medium">
        <color indexed="64"/>
      </top>
      <bottom/>
      <diagonal/>
    </border>
  </borders>
  <cellStyleXfs count="40">
    <xf numFmtId="0" fontId="0" fillId="0" borderId="0"/>
    <xf numFmtId="0" fontId="8" fillId="0" borderId="0" applyNumberFormat="0" applyFill="0" applyBorder="0" applyAlignment="0" applyProtection="0">
      <alignment vertical="top"/>
      <protection locked="0"/>
    </xf>
    <xf numFmtId="0" fontId="9" fillId="0" borderId="0"/>
    <xf numFmtId="0" fontId="9" fillId="0" borderId="0"/>
    <xf numFmtId="0" fontId="26" fillId="0" borderId="0"/>
    <xf numFmtId="0" fontId="31" fillId="0" borderId="0"/>
    <xf numFmtId="0" fontId="4" fillId="0" borderId="0"/>
    <xf numFmtId="43" fontId="4" fillId="0" borderId="0" applyFont="0" applyFill="0" applyBorder="0" applyAlignment="0" applyProtection="0"/>
    <xf numFmtId="0" fontId="40" fillId="0" borderId="0" applyNumberFormat="0" applyFill="0" applyBorder="0" applyAlignment="0" applyProtection="0">
      <alignment vertical="top"/>
      <protection locked="0"/>
    </xf>
    <xf numFmtId="43" fontId="51" fillId="0" borderId="0" applyFont="0" applyFill="0" applyBorder="0" applyAlignment="0" applyProtection="0"/>
    <xf numFmtId="0" fontId="3" fillId="0" borderId="0"/>
    <xf numFmtId="0" fontId="8" fillId="0" borderId="0" applyNumberFormat="0" applyFill="0" applyBorder="0" applyAlignment="0" applyProtection="0">
      <alignment vertical="top"/>
      <protection locked="0"/>
    </xf>
    <xf numFmtId="0" fontId="3"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35"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0" fontId="8" fillId="0" borderId="0"/>
    <xf numFmtId="0" fontId="52" fillId="0" borderId="0" applyNumberFormat="0" applyFill="0" applyBorder="0" applyAlignment="0" applyProtection="0"/>
    <xf numFmtId="0" fontId="53" fillId="0" borderId="69" applyNumberFormat="0" applyFill="0" applyAlignment="0" applyProtection="0"/>
    <xf numFmtId="0" fontId="9" fillId="0" borderId="0"/>
    <xf numFmtId="0" fontId="9" fillId="0" borderId="0"/>
    <xf numFmtId="0" fontId="3"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9" fontId="68" fillId="0" borderId="0" applyFont="0" applyFill="0" applyBorder="0" applyAlignment="0" applyProtection="0"/>
  </cellStyleXfs>
  <cellXfs count="928">
    <xf numFmtId="0" fontId="0" fillId="0" borderId="0" xfId="0"/>
    <xf numFmtId="0" fontId="5" fillId="0" borderId="0" xfId="0" applyFont="1" applyBorder="1" applyAlignment="1">
      <alignment vertical="center" wrapText="1"/>
    </xf>
    <xf numFmtId="164" fontId="6" fillId="2" borderId="2" xfId="0" applyNumberFormat="1" applyFont="1" applyFill="1" applyBorder="1" applyAlignment="1">
      <alignment horizontal="right" vertical="center" wrapText="1"/>
    </xf>
    <xf numFmtId="164" fontId="6" fillId="2" borderId="2" xfId="0" applyNumberFormat="1" applyFont="1" applyFill="1" applyBorder="1" applyAlignment="1">
      <alignment horizontal="center" vertical="center" wrapText="1"/>
    </xf>
    <xf numFmtId="164" fontId="6" fillId="0" borderId="0" xfId="0" applyNumberFormat="1" applyFont="1" applyBorder="1" applyAlignment="1">
      <alignment vertical="center" wrapText="1"/>
    </xf>
    <xf numFmtId="0" fontId="6" fillId="2" borderId="20" xfId="0" applyFont="1" applyFill="1" applyBorder="1" applyAlignment="1">
      <alignment horizontal="right" vertical="center" wrapText="1"/>
    </xf>
    <xf numFmtId="0" fontId="9" fillId="0" borderId="0" xfId="0" applyFont="1"/>
    <xf numFmtId="0" fontId="14" fillId="0" borderId="0" xfId="0" applyFont="1" applyBorder="1" applyAlignment="1">
      <alignment horizontal="center" wrapText="1"/>
    </xf>
    <xf numFmtId="0" fontId="19" fillId="0" borderId="35" xfId="0" applyFont="1" applyBorder="1"/>
    <xf numFmtId="17" fontId="0" fillId="0" borderId="0" xfId="0" applyNumberFormat="1"/>
    <xf numFmtId="9" fontId="0" fillId="2" borderId="3" xfId="0" applyNumberFormat="1" applyFill="1" applyBorder="1" applyProtection="1"/>
    <xf numFmtId="0" fontId="14" fillId="0" borderId="38" xfId="0" applyFont="1" applyBorder="1" applyAlignment="1" applyProtection="1">
      <alignment horizontal="center" wrapText="1"/>
    </xf>
    <xf numFmtId="0" fontId="14" fillId="0" borderId="18" xfId="0" applyFont="1" applyBorder="1" applyAlignment="1" applyProtection="1">
      <alignment horizontal="center" wrapText="1"/>
    </xf>
    <xf numFmtId="0" fontId="14" fillId="0" borderId="32" xfId="0" applyFont="1" applyBorder="1" applyAlignment="1" applyProtection="1">
      <alignment wrapText="1"/>
    </xf>
    <xf numFmtId="0" fontId="14" fillId="0" borderId="10" xfId="0" applyFont="1" applyBorder="1" applyAlignment="1" applyProtection="1">
      <alignment horizontal="center" wrapText="1"/>
    </xf>
    <xf numFmtId="9" fontId="0" fillId="2" borderId="3" xfId="0" applyNumberFormat="1" applyFill="1" applyBorder="1" applyAlignment="1" applyProtection="1">
      <alignment horizontal="center"/>
    </xf>
    <xf numFmtId="0" fontId="6" fillId="0" borderId="0" xfId="0" applyFont="1" applyFill="1" applyBorder="1" applyProtection="1"/>
    <xf numFmtId="0" fontId="6" fillId="0" borderId="0" xfId="0" applyFont="1" applyFill="1" applyBorder="1" applyAlignment="1" applyProtection="1"/>
    <xf numFmtId="0" fontId="9" fillId="0" borderId="0" xfId="0" applyFont="1" applyFill="1" applyBorder="1" applyAlignment="1" applyProtection="1">
      <alignment horizontal="left" vertical="center" wrapText="1"/>
    </xf>
    <xf numFmtId="0" fontId="13" fillId="2" borderId="33" xfId="0" applyFont="1" applyFill="1" applyBorder="1" applyAlignment="1">
      <alignment horizontal="right" vertical="center" wrapText="1"/>
    </xf>
    <xf numFmtId="0" fontId="6" fillId="2" borderId="33" xfId="0" applyFont="1" applyFill="1" applyBorder="1" applyAlignment="1">
      <alignment horizontal="right" vertical="center" wrapText="1"/>
    </xf>
    <xf numFmtId="0" fontId="6" fillId="2" borderId="2" xfId="0" applyFont="1" applyFill="1" applyBorder="1" applyAlignment="1">
      <alignment vertical="center" wrapText="1"/>
    </xf>
    <xf numFmtId="0" fontId="6" fillId="2" borderId="26" xfId="0" applyFont="1" applyFill="1" applyBorder="1" applyAlignment="1">
      <alignment vertical="center" wrapText="1"/>
    </xf>
    <xf numFmtId="0" fontId="0" fillId="0" borderId="0" xfId="0"/>
    <xf numFmtId="0" fontId="17" fillId="0" borderId="0" xfId="0" applyFont="1" applyFill="1" applyBorder="1" applyAlignment="1">
      <alignment horizontal="left" vertical="top" wrapText="1"/>
    </xf>
    <xf numFmtId="0" fontId="6" fillId="2" borderId="2" xfId="0" applyFont="1" applyFill="1" applyBorder="1" applyAlignment="1">
      <alignment horizontal="right" vertical="center"/>
    </xf>
    <xf numFmtId="0" fontId="6" fillId="2" borderId="26" xfId="0" applyFont="1" applyFill="1" applyBorder="1" applyAlignment="1">
      <alignment horizontal="right" vertical="center"/>
    </xf>
    <xf numFmtId="0" fontId="28" fillId="0" borderId="56" xfId="0" applyFont="1" applyBorder="1" applyAlignment="1">
      <alignment vertical="top" wrapText="1"/>
    </xf>
    <xf numFmtId="0" fontId="29" fillId="0" borderId="57" xfId="0" applyFont="1" applyBorder="1" applyAlignment="1">
      <alignment vertical="top" wrapText="1"/>
    </xf>
    <xf numFmtId="0" fontId="28" fillId="0" borderId="54" xfId="0" applyFont="1" applyBorder="1" applyAlignment="1">
      <alignment vertical="top" wrapText="1"/>
    </xf>
    <xf numFmtId="0" fontId="29" fillId="0" borderId="55" xfId="0" applyFont="1" applyBorder="1" applyAlignment="1">
      <alignment vertical="top" wrapText="1"/>
    </xf>
    <xf numFmtId="0" fontId="0" fillId="0" borderId="0" xfId="0" applyBorder="1" applyProtection="1"/>
    <xf numFmtId="0" fontId="9" fillId="0" borderId="0" xfId="0" applyFont="1" applyBorder="1" applyAlignment="1" applyProtection="1">
      <alignment horizontal="left" vertical="center" wrapText="1" indent="1"/>
    </xf>
    <xf numFmtId="0" fontId="9" fillId="0" borderId="0" xfId="3" applyNumberFormat="1" applyFont="1" applyBorder="1" applyAlignment="1" applyProtection="1">
      <alignment vertical="center" wrapText="1"/>
    </xf>
    <xf numFmtId="0" fontId="9" fillId="0" borderId="0" xfId="0" applyNumberFormat="1" applyFont="1" applyFill="1" applyBorder="1" applyAlignment="1" applyProtection="1">
      <alignment horizontal="left" vertical="top" wrapText="1"/>
    </xf>
    <xf numFmtId="0" fontId="0" fillId="0" borderId="0" xfId="0" applyFill="1" applyBorder="1" applyAlignment="1" applyProtection="1">
      <alignment horizontal="left" vertical="top" wrapText="1"/>
    </xf>
    <xf numFmtId="0" fontId="0" fillId="0" borderId="41" xfId="0" applyBorder="1"/>
    <xf numFmtId="0" fontId="0" fillId="0" borderId="15" xfId="0" applyBorder="1" applyAlignment="1">
      <alignment wrapText="1"/>
    </xf>
    <xf numFmtId="0" fontId="0" fillId="0" borderId="15" xfId="0" applyBorder="1"/>
    <xf numFmtId="0" fontId="0" fillId="0" borderId="21" xfId="0" applyBorder="1"/>
    <xf numFmtId="0" fontId="0" fillId="0" borderId="42" xfId="0" applyBorder="1"/>
    <xf numFmtId="0" fontId="0" fillId="0" borderId="0" xfId="0" applyBorder="1"/>
    <xf numFmtId="0" fontId="0" fillId="0" borderId="43" xfId="0" applyBorder="1"/>
    <xf numFmtId="0" fontId="5" fillId="0" borderId="42" xfId="0" applyFont="1" applyBorder="1"/>
    <xf numFmtId="0" fontId="5" fillId="0" borderId="43" xfId="0" applyFont="1" applyBorder="1"/>
    <xf numFmtId="0" fontId="0" fillId="0" borderId="44" xfId="0" applyBorder="1"/>
    <xf numFmtId="0" fontId="0" fillId="0" borderId="45" xfId="0" applyBorder="1" applyAlignment="1">
      <alignment wrapText="1"/>
    </xf>
    <xf numFmtId="0" fontId="0" fillId="0" borderId="46" xfId="0" applyBorder="1"/>
    <xf numFmtId="0" fontId="0" fillId="6" borderId="0" xfId="0" applyFill="1"/>
    <xf numFmtId="0" fontId="5" fillId="6" borderId="0" xfId="0" applyFont="1" applyFill="1" applyBorder="1"/>
    <xf numFmtId="0" fontId="0" fillId="6" borderId="0" xfId="0" applyFill="1" applyAlignment="1">
      <alignment wrapText="1"/>
    </xf>
    <xf numFmtId="0" fontId="27" fillId="0" borderId="41" xfId="0" applyFont="1" applyBorder="1"/>
    <xf numFmtId="0" fontId="27" fillId="0" borderId="15" xfId="0" applyFont="1" applyBorder="1"/>
    <xf numFmtId="0" fontId="27" fillId="0" borderId="21" xfId="0" applyFont="1" applyBorder="1"/>
    <xf numFmtId="0" fontId="27" fillId="0" borderId="42" xfId="0" applyFont="1" applyBorder="1"/>
    <xf numFmtId="0" fontId="25" fillId="0" borderId="0" xfId="0" applyFont="1" applyBorder="1"/>
    <xf numFmtId="0" fontId="27" fillId="0" borderId="43" xfId="0" applyFont="1" applyBorder="1"/>
    <xf numFmtId="0" fontId="27" fillId="0" borderId="0" xfId="0" applyFont="1" applyBorder="1"/>
    <xf numFmtId="0" fontId="27" fillId="0" borderId="44" xfId="0" applyFont="1" applyBorder="1"/>
    <xf numFmtId="0" fontId="27" fillId="0" borderId="45" xfId="0" applyFont="1" applyBorder="1"/>
    <xf numFmtId="0" fontId="27" fillId="0" borderId="46" xfId="0" applyFont="1" applyBorder="1"/>
    <xf numFmtId="0" fontId="27" fillId="6" borderId="0" xfId="0" applyFont="1" applyFill="1"/>
    <xf numFmtId="0" fontId="6" fillId="6" borderId="0" xfId="0" applyFont="1" applyFill="1" applyBorder="1"/>
    <xf numFmtId="0" fontId="5" fillId="6" borderId="0" xfId="0" applyFont="1" applyFill="1" applyBorder="1" applyAlignment="1">
      <alignment horizontal="center"/>
    </xf>
    <xf numFmtId="0" fontId="5" fillId="6" borderId="0" xfId="0" applyFont="1" applyFill="1" applyBorder="1" applyAlignment="1">
      <alignment horizontal="right"/>
    </xf>
    <xf numFmtId="0" fontId="5" fillId="6" borderId="0" xfId="0" applyFont="1" applyFill="1" applyBorder="1" applyAlignment="1">
      <alignment vertical="center" wrapText="1"/>
    </xf>
    <xf numFmtId="0" fontId="5" fillId="0" borderId="41" xfId="0" applyFont="1" applyBorder="1"/>
    <xf numFmtId="0" fontId="5" fillId="0" borderId="15" xfId="0" applyFont="1" applyBorder="1"/>
    <xf numFmtId="0" fontId="5" fillId="0" borderId="15" xfId="0" applyFont="1" applyBorder="1" applyAlignment="1">
      <alignment horizontal="right"/>
    </xf>
    <xf numFmtId="0" fontId="5" fillId="0" borderId="15" xfId="0" applyFont="1" applyBorder="1" applyAlignment="1">
      <alignment vertical="center" wrapText="1"/>
    </xf>
    <xf numFmtId="0" fontId="5" fillId="0" borderId="21" xfId="0" applyFont="1" applyBorder="1"/>
    <xf numFmtId="0" fontId="6" fillId="0" borderId="42" xfId="0" applyFont="1" applyFill="1" applyBorder="1"/>
    <xf numFmtId="0" fontId="6" fillId="0" borderId="43" xfId="0" applyFont="1" applyFill="1" applyBorder="1"/>
    <xf numFmtId="0" fontId="5" fillId="0" borderId="42" xfId="0" applyFont="1" applyBorder="1" applyAlignment="1">
      <alignment horizontal="center"/>
    </xf>
    <xf numFmtId="0" fontId="5" fillId="0" borderId="43" xfId="0" applyFont="1" applyBorder="1" applyAlignment="1">
      <alignment horizontal="center"/>
    </xf>
    <xf numFmtId="0" fontId="5" fillId="0" borderId="42" xfId="0" applyFont="1" applyFill="1" applyBorder="1"/>
    <xf numFmtId="0" fontId="5" fillId="0" borderId="43" xfId="0" applyFont="1" applyFill="1" applyBorder="1"/>
    <xf numFmtId="0" fontId="5" fillId="0" borderId="44" xfId="0" applyFont="1" applyBorder="1"/>
    <xf numFmtId="0" fontId="5" fillId="0" borderId="45" xfId="0" applyFont="1" applyBorder="1"/>
    <xf numFmtId="0" fontId="5" fillId="0" borderId="45" xfId="0" applyFont="1" applyBorder="1" applyAlignment="1">
      <alignment horizontal="right"/>
    </xf>
    <xf numFmtId="0" fontId="5" fillId="0" borderId="45" xfId="0" applyFont="1" applyBorder="1" applyAlignment="1">
      <alignment vertical="center" wrapText="1"/>
    </xf>
    <xf numFmtId="0" fontId="5" fillId="0" borderId="46" xfId="0" applyFont="1" applyBorder="1"/>
    <xf numFmtId="0" fontId="0" fillId="0" borderId="0" xfId="0" applyBorder="1"/>
    <xf numFmtId="0" fontId="14" fillId="0" borderId="0" xfId="0" applyFont="1" applyBorder="1"/>
    <xf numFmtId="0" fontId="0" fillId="0" borderId="43" xfId="0" applyBorder="1" applyAlignment="1">
      <alignment vertical="top" wrapText="1"/>
    </xf>
    <xf numFmtId="0" fontId="6" fillId="0" borderId="43" xfId="0" applyFont="1" applyFill="1" applyBorder="1" applyAlignment="1">
      <alignment wrapText="1"/>
    </xf>
    <xf numFmtId="0" fontId="14" fillId="0" borderId="43" xfId="0" applyFont="1" applyBorder="1" applyAlignment="1">
      <alignment horizontal="center" wrapText="1"/>
    </xf>
    <xf numFmtId="0" fontId="17" fillId="0" borderId="43" xfId="0" applyFont="1" applyBorder="1" applyAlignment="1">
      <alignment wrapText="1"/>
    </xf>
    <xf numFmtId="0" fontId="17" fillId="0" borderId="45" xfId="0" applyFont="1" applyBorder="1" applyAlignment="1">
      <alignment wrapText="1"/>
    </xf>
    <xf numFmtId="0" fontId="17" fillId="0" borderId="46" xfId="0" applyFont="1" applyBorder="1" applyAlignment="1">
      <alignment wrapText="1"/>
    </xf>
    <xf numFmtId="0" fontId="17" fillId="6" borderId="0" xfId="0" applyFont="1" applyFill="1" applyBorder="1" applyAlignment="1">
      <alignment wrapText="1"/>
    </xf>
    <xf numFmtId="0" fontId="22" fillId="0" borderId="0" xfId="0" applyFont="1" applyBorder="1" applyAlignment="1">
      <alignment wrapText="1"/>
    </xf>
    <xf numFmtId="0" fontId="0" fillId="0" borderId="0" xfId="0" applyBorder="1" applyAlignment="1">
      <alignment wrapText="1"/>
    </xf>
    <xf numFmtId="0" fontId="0" fillId="0" borderId="42" xfId="0" applyFill="1" applyBorder="1"/>
    <xf numFmtId="0" fontId="23" fillId="0" borderId="0" xfId="0" applyFont="1" applyFill="1" applyBorder="1" applyAlignment="1">
      <alignment wrapText="1"/>
    </xf>
    <xf numFmtId="0" fontId="0" fillId="0" borderId="43" xfId="0" applyFill="1" applyBorder="1"/>
    <xf numFmtId="0" fontId="23" fillId="0" borderId="0" xfId="0" applyFont="1" applyBorder="1" applyAlignment="1">
      <alignment wrapText="1"/>
    </xf>
    <xf numFmtId="0" fontId="24" fillId="0" borderId="0" xfId="1" applyFont="1" applyBorder="1" applyAlignment="1" applyProtection="1">
      <alignment wrapText="1"/>
    </xf>
    <xf numFmtId="166" fontId="33" fillId="9" borderId="1" xfId="7" applyNumberFormat="1" applyFont="1" applyFill="1" applyBorder="1" applyAlignment="1" applyProtection="1">
      <alignment horizontal="center" vertical="center" wrapText="1"/>
    </xf>
    <xf numFmtId="0" fontId="33" fillId="9" borderId="1" xfId="5" applyFont="1" applyFill="1" applyBorder="1" applyAlignment="1" applyProtection="1">
      <alignment horizontal="center" vertical="center" wrapText="1"/>
    </xf>
    <xf numFmtId="166" fontId="33" fillId="10" borderId="1" xfId="7" applyNumberFormat="1" applyFont="1" applyFill="1" applyBorder="1" applyAlignment="1" applyProtection="1">
      <alignment horizontal="center" vertical="center" wrapText="1"/>
    </xf>
    <xf numFmtId="0" fontId="33" fillId="10" borderId="30" xfId="5" applyFont="1" applyFill="1" applyBorder="1" applyAlignment="1" applyProtection="1">
      <alignment vertical="center" wrapText="1"/>
    </xf>
    <xf numFmtId="0" fontId="34" fillId="0" borderId="1" xfId="5" applyFont="1" applyFill="1" applyBorder="1" applyAlignment="1" applyProtection="1"/>
    <xf numFmtId="167" fontId="34" fillId="0" borderId="1" xfId="7" applyNumberFormat="1" applyFont="1" applyFill="1" applyBorder="1" applyAlignment="1" applyProtection="1"/>
    <xf numFmtId="168" fontId="34" fillId="0" borderId="1" xfId="5" applyNumberFormat="1" applyFont="1" applyFill="1" applyBorder="1" applyAlignment="1" applyProtection="1">
      <alignment horizontal="right"/>
    </xf>
    <xf numFmtId="169" fontId="0" fillId="0" borderId="1" xfId="7" applyNumberFormat="1" applyFont="1" applyBorder="1" applyAlignment="1"/>
    <xf numFmtId="166" fontId="35" fillId="0" borderId="1" xfId="7" applyNumberFormat="1" applyFont="1" applyFill="1" applyBorder="1" applyAlignment="1" applyProtection="1">
      <alignment horizontal="right"/>
    </xf>
    <xf numFmtId="168" fontId="34" fillId="11" borderId="1" xfId="5" applyNumberFormat="1" applyFont="1" applyFill="1" applyBorder="1" applyAlignment="1" applyProtection="1">
      <alignment horizontal="right"/>
    </xf>
    <xf numFmtId="169" fontId="0" fillId="11" borderId="1" xfId="7" applyNumberFormat="1" applyFont="1" applyFill="1" applyBorder="1" applyAlignment="1"/>
    <xf numFmtId="166" fontId="37" fillId="8" borderId="1" xfId="7" applyNumberFormat="1" applyFont="1" applyFill="1" applyBorder="1" applyAlignment="1" applyProtection="1">
      <alignment horizontal="right"/>
    </xf>
    <xf numFmtId="166" fontId="4" fillId="0" borderId="0" xfId="7" applyNumberFormat="1" applyFont="1" applyAlignment="1" applyProtection="1"/>
    <xf numFmtId="166" fontId="30" fillId="12" borderId="1" xfId="7" applyNumberFormat="1" applyFont="1" applyFill="1" applyBorder="1" applyAlignment="1" applyProtection="1">
      <alignment horizontal="center" vertical="center"/>
    </xf>
    <xf numFmtId="170" fontId="0" fillId="11" borderId="1" xfId="7" applyNumberFormat="1" applyFont="1" applyFill="1" applyBorder="1" applyAlignment="1" applyProtection="1"/>
    <xf numFmtId="170" fontId="0" fillId="0" borderId="1" xfId="7" applyNumberFormat="1" applyFont="1" applyBorder="1" applyAlignment="1" applyProtection="1"/>
    <xf numFmtId="43" fontId="0" fillId="0" borderId="1" xfId="7" applyFont="1" applyBorder="1" applyAlignment="1" applyProtection="1"/>
    <xf numFmtId="0" fontId="40" fillId="0" borderId="1" xfId="8" applyBorder="1" applyAlignment="1" applyProtection="1">
      <alignment horizontal="center" vertical="center" wrapText="1"/>
    </xf>
    <xf numFmtId="166" fontId="30" fillId="13" borderId="1" xfId="7" applyNumberFormat="1" applyFont="1" applyFill="1" applyBorder="1" applyAlignment="1" applyProtection="1">
      <alignment horizontal="center" vertical="center"/>
    </xf>
    <xf numFmtId="166" fontId="0" fillId="0" borderId="1" xfId="7" applyNumberFormat="1" applyFont="1" applyBorder="1" applyAlignment="1" applyProtection="1"/>
    <xf numFmtId="0" fontId="0" fillId="6" borderId="0" xfId="0" applyFill="1" applyProtection="1"/>
    <xf numFmtId="0" fontId="0" fillId="0" borderId="41" xfId="0" applyBorder="1" applyProtection="1"/>
    <xf numFmtId="0" fontId="0" fillId="0" borderId="15" xfId="0" applyBorder="1" applyProtection="1"/>
    <xf numFmtId="0" fontId="0" fillId="0" borderId="21" xfId="0" applyBorder="1" applyProtection="1"/>
    <xf numFmtId="0" fontId="0" fillId="0" borderId="42" xfId="0" applyBorder="1" applyProtection="1"/>
    <xf numFmtId="0" fontId="19" fillId="0" borderId="0" xfId="0" applyFont="1" applyBorder="1" applyProtection="1"/>
    <xf numFmtId="0" fontId="0" fillId="0" borderId="43" xfId="0" applyBorder="1" applyProtection="1"/>
    <xf numFmtId="0" fontId="14" fillId="0" borderId="0" xfId="0" applyFont="1" applyBorder="1" applyProtection="1"/>
    <xf numFmtId="0" fontId="0" fillId="0" borderId="0" xfId="0" applyBorder="1" applyAlignment="1" applyProtection="1">
      <alignment vertical="top" wrapText="1"/>
    </xf>
    <xf numFmtId="0" fontId="0" fillId="0" borderId="42" xfId="0" applyFill="1" applyBorder="1" applyProtection="1"/>
    <xf numFmtId="0" fontId="15" fillId="0" borderId="0" xfId="0" applyFont="1" applyFill="1" applyBorder="1" applyAlignment="1" applyProtection="1">
      <alignment vertical="top" wrapText="1"/>
    </xf>
    <xf numFmtId="165" fontId="18" fillId="0" borderId="0" xfId="0" applyNumberFormat="1" applyFont="1" applyFill="1" applyBorder="1" applyAlignment="1" applyProtection="1">
      <alignment horizontal="center" vertical="center"/>
    </xf>
    <xf numFmtId="0" fontId="0" fillId="0" borderId="0" xfId="0" applyFill="1" applyBorder="1" applyAlignment="1" applyProtection="1">
      <alignment vertical="top" wrapText="1"/>
    </xf>
    <xf numFmtId="0" fontId="0" fillId="0" borderId="43" xfId="0" applyFill="1" applyBorder="1" applyProtection="1"/>
    <xf numFmtId="0" fontId="15" fillId="0" borderId="0" xfId="0" applyFont="1" applyBorder="1" applyAlignment="1" applyProtection="1">
      <alignment vertical="top" wrapText="1"/>
    </xf>
    <xf numFmtId="0" fontId="0" fillId="0" borderId="44" xfId="0" applyBorder="1" applyProtection="1"/>
    <xf numFmtId="0" fontId="17" fillId="0" borderId="45" xfId="0" applyFont="1" applyBorder="1" applyAlignment="1" applyProtection="1">
      <alignment wrapText="1"/>
    </xf>
    <xf numFmtId="0" fontId="0" fillId="0" borderId="46" xfId="0" applyBorder="1" applyProtection="1"/>
    <xf numFmtId="0" fontId="17" fillId="6" borderId="0" xfId="0" applyFont="1" applyFill="1" applyBorder="1" applyAlignment="1" applyProtection="1">
      <alignment wrapText="1"/>
    </xf>
    <xf numFmtId="0" fontId="5" fillId="6" borderId="0" xfId="0" applyFont="1" applyFill="1" applyBorder="1" applyProtection="1"/>
    <xf numFmtId="0" fontId="5" fillId="6" borderId="0" xfId="0" applyFont="1" applyFill="1" applyBorder="1" applyAlignment="1" applyProtection="1">
      <alignment vertical="center" wrapText="1"/>
    </xf>
    <xf numFmtId="0" fontId="5" fillId="0" borderId="41" xfId="0" applyFont="1" applyBorder="1" applyProtection="1"/>
    <xf numFmtId="0" fontId="5" fillId="0" borderId="15" xfId="0" applyFont="1" applyBorder="1" applyProtection="1"/>
    <xf numFmtId="0" fontId="5" fillId="0" borderId="15" xfId="0" applyFont="1" applyBorder="1" applyAlignment="1" applyProtection="1">
      <alignment vertical="center" wrapText="1"/>
    </xf>
    <xf numFmtId="0" fontId="5" fillId="0" borderId="21" xfId="0" applyFont="1" applyBorder="1" applyProtection="1"/>
    <xf numFmtId="0" fontId="5" fillId="0" borderId="42" xfId="0" applyFont="1" applyBorder="1" applyProtection="1"/>
    <xf numFmtId="0" fontId="5" fillId="0" borderId="43" xfId="0" applyFont="1" applyBorder="1" applyProtection="1"/>
    <xf numFmtId="0" fontId="6" fillId="0" borderId="42" xfId="0" applyFont="1" applyFill="1" applyBorder="1" applyAlignment="1" applyProtection="1"/>
    <xf numFmtId="0" fontId="6" fillId="0" borderId="43" xfId="0" applyFont="1" applyFill="1" applyBorder="1" applyAlignment="1" applyProtection="1"/>
    <xf numFmtId="0" fontId="6" fillId="6" borderId="0" xfId="0" applyFont="1" applyFill="1" applyBorder="1" applyAlignment="1" applyProtection="1"/>
    <xf numFmtId="0" fontId="5" fillId="0" borderId="42" xfId="0" applyFont="1" applyBorder="1" applyAlignment="1" applyProtection="1">
      <alignment vertical="center"/>
    </xf>
    <xf numFmtId="0" fontId="6" fillId="2" borderId="23" xfId="0" applyFont="1" applyFill="1" applyBorder="1" applyAlignment="1" applyProtection="1">
      <alignment horizontal="center" vertical="center" wrapText="1"/>
    </xf>
    <xf numFmtId="0" fontId="6" fillId="2" borderId="31"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24"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xf numFmtId="0" fontId="5" fillId="0" borderId="43" xfId="0" applyFont="1" applyBorder="1" applyAlignment="1" applyProtection="1">
      <alignment vertical="center"/>
    </xf>
    <xf numFmtId="0" fontId="5" fillId="6" borderId="0" xfId="0" applyFont="1" applyFill="1" applyBorder="1" applyAlignment="1" applyProtection="1">
      <alignment vertical="center"/>
    </xf>
    <xf numFmtId="164" fontId="6" fillId="0" borderId="0" xfId="0" applyNumberFormat="1" applyFont="1" applyFill="1" applyBorder="1" applyAlignment="1" applyProtection="1">
      <alignment vertical="center" wrapText="1"/>
    </xf>
    <xf numFmtId="0" fontId="5" fillId="0" borderId="0" xfId="0" applyFont="1" applyFill="1" applyBorder="1" applyProtection="1"/>
    <xf numFmtId="0" fontId="5" fillId="0" borderId="15" xfId="0" applyFont="1" applyFill="1" applyBorder="1" applyProtection="1"/>
    <xf numFmtId="0" fontId="5" fillId="0" borderId="0" xfId="0" applyFont="1" applyFill="1" applyBorder="1" applyAlignment="1" applyProtection="1">
      <alignment vertical="center" wrapText="1"/>
    </xf>
    <xf numFmtId="0" fontId="5" fillId="0" borderId="44" xfId="0" applyFont="1" applyBorder="1" applyProtection="1"/>
    <xf numFmtId="0" fontId="5" fillId="0" borderId="45" xfId="0" applyFont="1" applyBorder="1" applyProtection="1"/>
    <xf numFmtId="0" fontId="5" fillId="0" borderId="45" xfId="0" applyFont="1" applyBorder="1" applyAlignment="1" applyProtection="1">
      <alignment vertical="center" wrapText="1"/>
    </xf>
    <xf numFmtId="0" fontId="5" fillId="0" borderId="46" xfId="0" applyFont="1" applyBorder="1" applyProtection="1"/>
    <xf numFmtId="0" fontId="6" fillId="2" borderId="17" xfId="0" applyFont="1" applyFill="1" applyBorder="1" applyAlignment="1" applyProtection="1">
      <alignment horizontal="center" vertical="center" wrapText="1"/>
    </xf>
    <xf numFmtId="0" fontId="5" fillId="0" borderId="42" xfId="0" applyFont="1" applyFill="1" applyBorder="1" applyProtection="1"/>
    <xf numFmtId="0" fontId="5" fillId="0" borderId="43" xfId="0" applyFont="1" applyFill="1" applyBorder="1" applyProtection="1"/>
    <xf numFmtId="0" fontId="0" fillId="6" borderId="0" xfId="0" applyFill="1" applyAlignment="1" applyProtection="1">
      <alignment wrapText="1"/>
    </xf>
    <xf numFmtId="0" fontId="0" fillId="0" borderId="15" xfId="0" applyBorder="1" applyAlignment="1" applyProtection="1">
      <alignment wrapText="1"/>
    </xf>
    <xf numFmtId="0" fontId="6" fillId="3" borderId="0" xfId="0" applyFont="1" applyFill="1" applyBorder="1" applyAlignment="1" applyProtection="1">
      <alignment vertical="center"/>
    </xf>
    <xf numFmtId="0" fontId="5" fillId="0" borderId="0" xfId="0" applyFont="1" applyBorder="1" applyProtection="1"/>
    <xf numFmtId="0" fontId="18" fillId="2" borderId="53" xfId="0" applyFont="1" applyFill="1" applyBorder="1" applyAlignment="1" applyProtection="1">
      <alignment horizontal="center" vertical="center" wrapText="1"/>
    </xf>
    <xf numFmtId="0" fontId="18" fillId="2" borderId="19" xfId="0" applyFont="1" applyFill="1" applyBorder="1" applyAlignment="1" applyProtection="1">
      <alignment horizontal="center" vertical="center" wrapText="1"/>
    </xf>
    <xf numFmtId="0" fontId="14" fillId="0" borderId="42" xfId="0" applyFont="1" applyBorder="1" applyProtection="1"/>
    <xf numFmtId="0" fontId="20" fillId="0" borderId="32" xfId="0" applyFont="1" applyBorder="1" applyAlignment="1" applyProtection="1">
      <alignment wrapText="1"/>
    </xf>
    <xf numFmtId="0" fontId="14" fillId="0" borderId="43" xfId="0" applyFont="1" applyBorder="1" applyProtection="1"/>
    <xf numFmtId="0" fontId="14" fillId="6" borderId="0" xfId="0" applyFont="1" applyFill="1" applyProtection="1"/>
    <xf numFmtId="0" fontId="14" fillId="0" borderId="33" xfId="0" applyFont="1" applyBorder="1" applyAlignment="1" applyProtection="1">
      <alignment wrapText="1"/>
    </xf>
    <xf numFmtId="0" fontId="15" fillId="0" borderId="33" xfId="0" applyFont="1" applyBorder="1" applyAlignment="1" applyProtection="1">
      <alignment wrapText="1"/>
    </xf>
    <xf numFmtId="3" fontId="0" fillId="0" borderId="43" xfId="0" applyNumberFormat="1" applyBorder="1" applyProtection="1"/>
    <xf numFmtId="0" fontId="0" fillId="0" borderId="45" xfId="0" applyBorder="1" applyAlignment="1" applyProtection="1">
      <alignment wrapText="1"/>
    </xf>
    <xf numFmtId="0" fontId="0" fillId="0" borderId="45" xfId="0" applyBorder="1" applyProtection="1"/>
    <xf numFmtId="0" fontId="6" fillId="0" borderId="0" xfId="0" applyFont="1" applyFill="1" applyBorder="1" applyAlignment="1" applyProtection="1">
      <alignment vertical="center"/>
    </xf>
    <xf numFmtId="0" fontId="9" fillId="0" borderId="43" xfId="0" applyFont="1" applyBorder="1" applyProtection="1"/>
    <xf numFmtId="0" fontId="14" fillId="0" borderId="42" xfId="0" applyFont="1" applyBorder="1" applyAlignment="1" applyProtection="1">
      <alignment wrapText="1"/>
    </xf>
    <xf numFmtId="0" fontId="14" fillId="0" borderId="43" xfId="0" applyFont="1" applyBorder="1" applyAlignment="1" applyProtection="1">
      <alignment wrapText="1"/>
    </xf>
    <xf numFmtId="0" fontId="14" fillId="6" borderId="0" xfId="0" applyFont="1" applyFill="1" applyAlignment="1" applyProtection="1">
      <alignment wrapText="1"/>
    </xf>
    <xf numFmtId="0" fontId="14" fillId="0" borderId="33" xfId="0" applyFont="1" applyBorder="1" applyProtection="1"/>
    <xf numFmtId="0" fontId="0" fillId="6" borderId="0" xfId="0" applyFill="1" applyBorder="1" applyProtection="1"/>
    <xf numFmtId="0" fontId="9" fillId="0" borderId="43" xfId="0" applyFont="1" applyFill="1" applyBorder="1" applyProtection="1"/>
    <xf numFmtId="0" fontId="9" fillId="0" borderId="0" xfId="0" applyFont="1" applyBorder="1" applyAlignment="1" applyProtection="1">
      <alignment horizontal="center" vertical="center" wrapText="1"/>
    </xf>
    <xf numFmtId="0" fontId="9" fillId="6" borderId="0" xfId="0" applyFont="1" applyFill="1" applyBorder="1" applyAlignment="1" applyProtection="1">
      <alignment vertical="center" wrapText="1"/>
    </xf>
    <xf numFmtId="0" fontId="0" fillId="0" borderId="43" xfId="0" applyFill="1" applyBorder="1" applyAlignment="1" applyProtection="1">
      <alignment vertical="center" wrapText="1"/>
    </xf>
    <xf numFmtId="0" fontId="0" fillId="0" borderId="43" xfId="0" applyFill="1" applyBorder="1" applyAlignment="1" applyProtection="1">
      <alignment horizontal="left" vertical="top" wrapText="1"/>
    </xf>
    <xf numFmtId="0" fontId="9" fillId="0" borderId="0" xfId="0" applyFont="1" applyFill="1" applyBorder="1" applyAlignment="1" applyProtection="1">
      <alignment vertical="top" wrapText="1"/>
    </xf>
    <xf numFmtId="0" fontId="0" fillId="0" borderId="0" xfId="0" applyBorder="1" applyAlignment="1" applyProtection="1">
      <alignment wrapText="1"/>
    </xf>
    <xf numFmtId="0" fontId="19" fillId="0" borderId="0" xfId="0" applyFont="1" applyBorder="1" applyAlignment="1" applyProtection="1">
      <alignment vertical="center"/>
    </xf>
    <xf numFmtId="0" fontId="21" fillId="0" borderId="0" xfId="0" applyFont="1" applyBorder="1" applyAlignment="1" applyProtection="1">
      <alignment vertical="center"/>
    </xf>
    <xf numFmtId="0" fontId="14" fillId="0" borderId="0" xfId="0" applyFont="1" applyFill="1" applyBorder="1" applyProtection="1"/>
    <xf numFmtId="0" fontId="0" fillId="0" borderId="0" xfId="0" applyFill="1" applyBorder="1" applyProtection="1"/>
    <xf numFmtId="0" fontId="9" fillId="0" borderId="0" xfId="0" applyFont="1" applyBorder="1" applyProtection="1"/>
    <xf numFmtId="0" fontId="9" fillId="5" borderId="0" xfId="0" applyFont="1" applyFill="1" applyBorder="1" applyAlignment="1" applyProtection="1">
      <alignment horizontal="left" vertical="center" wrapText="1"/>
    </xf>
    <xf numFmtId="0" fontId="9" fillId="5" borderId="0" xfId="0" applyFont="1" applyFill="1" applyBorder="1" applyAlignment="1" applyProtection="1">
      <alignment horizontal="left" vertical="center"/>
    </xf>
    <xf numFmtId="0" fontId="9"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0" fillId="0" borderId="42" xfId="0" applyBorder="1" applyAlignment="1" applyProtection="1">
      <alignment vertical="center"/>
    </xf>
    <xf numFmtId="0" fontId="0" fillId="0" borderId="43" xfId="0" applyBorder="1" applyAlignment="1" applyProtection="1">
      <alignment vertical="center"/>
    </xf>
    <xf numFmtId="0" fontId="0" fillId="6" borderId="0" xfId="0" applyFill="1" applyAlignment="1" applyProtection="1">
      <alignment vertical="center"/>
    </xf>
    <xf numFmtId="0" fontId="9" fillId="0" borderId="0" xfId="0" applyFont="1" applyBorder="1" applyAlignment="1" applyProtection="1">
      <alignment horizontal="left" wrapText="1"/>
    </xf>
    <xf numFmtId="0" fontId="0" fillId="0" borderId="0" xfId="0" applyBorder="1" applyAlignment="1" applyProtection="1">
      <alignment horizontal="left"/>
    </xf>
    <xf numFmtId="0" fontId="14" fillId="0" borderId="0" xfId="0" applyFont="1" applyBorder="1" applyAlignment="1" applyProtection="1">
      <alignment horizontal="left"/>
    </xf>
    <xf numFmtId="0" fontId="6" fillId="2" borderId="21" xfId="0" applyFont="1" applyFill="1" applyBorder="1" applyAlignment="1" applyProtection="1">
      <alignment horizontal="center" wrapText="1"/>
    </xf>
    <xf numFmtId="0" fontId="14" fillId="0" borderId="33" xfId="0" applyFont="1" applyBorder="1" applyAlignment="1" applyProtection="1">
      <alignment horizontal="center" wrapText="1"/>
    </xf>
    <xf numFmtId="0" fontId="14" fillId="0" borderId="1" xfId="0" applyFont="1" applyBorder="1" applyAlignment="1" applyProtection="1">
      <alignment horizontal="center" wrapText="1"/>
    </xf>
    <xf numFmtId="0" fontId="14" fillId="3" borderId="1" xfId="0" applyFont="1" applyFill="1" applyBorder="1" applyAlignment="1" applyProtection="1">
      <alignment horizontal="center" wrapText="1"/>
    </xf>
    <xf numFmtId="0" fontId="14" fillId="0" borderId="3" xfId="0" applyFont="1" applyBorder="1" applyAlignment="1" applyProtection="1">
      <alignment horizontal="center" wrapText="1"/>
    </xf>
    <xf numFmtId="0" fontId="0" fillId="7" borderId="41" xfId="0" applyFill="1" applyBorder="1" applyProtection="1"/>
    <xf numFmtId="0" fontId="18" fillId="0" borderId="15" xfId="0" applyFont="1" applyBorder="1" applyAlignment="1" applyProtection="1">
      <alignment vertical="center"/>
    </xf>
    <xf numFmtId="0" fontId="0" fillId="0" borderId="15" xfId="0" applyBorder="1" applyAlignment="1" applyProtection="1">
      <alignment vertical="top"/>
    </xf>
    <xf numFmtId="0" fontId="0" fillId="0" borderId="21" xfId="0" applyBorder="1" applyAlignment="1" applyProtection="1">
      <alignment vertical="top"/>
    </xf>
    <xf numFmtId="0" fontId="0" fillId="7" borderId="42" xfId="0" applyFill="1" applyBorder="1" applyProtection="1"/>
    <xf numFmtId="0" fontId="0" fillId="0" borderId="43" xfId="0" applyBorder="1" applyAlignment="1" applyProtection="1">
      <alignment vertical="top"/>
    </xf>
    <xf numFmtId="0" fontId="0" fillId="0" borderId="0" xfId="0" applyBorder="1" applyAlignment="1" applyProtection="1">
      <alignment vertical="top"/>
    </xf>
    <xf numFmtId="0" fontId="0" fillId="0" borderId="43" xfId="0" applyBorder="1" applyAlignment="1" applyProtection="1">
      <alignment wrapText="1"/>
    </xf>
    <xf numFmtId="0" fontId="6" fillId="0" borderId="0" xfId="0" applyFont="1" applyBorder="1" applyAlignment="1" applyProtection="1">
      <alignment wrapText="1"/>
    </xf>
    <xf numFmtId="0" fontId="6" fillId="0" borderId="0" xfId="0" applyFont="1" applyBorder="1" applyProtection="1"/>
    <xf numFmtId="0" fontId="0" fillId="0" borderId="0" xfId="0" applyBorder="1" applyAlignment="1" applyProtection="1">
      <alignment vertical="center"/>
    </xf>
    <xf numFmtId="0" fontId="0" fillId="7" borderId="42" xfId="0" applyFill="1" applyBorder="1" applyAlignment="1" applyProtection="1">
      <alignment vertical="center"/>
    </xf>
    <xf numFmtId="0" fontId="5" fillId="0" borderId="0" xfId="0" applyFont="1" applyBorder="1" applyAlignment="1" applyProtection="1">
      <alignment vertical="center"/>
    </xf>
    <xf numFmtId="0" fontId="0" fillId="7" borderId="44" xfId="0" applyFill="1" applyBorder="1" applyProtection="1"/>
    <xf numFmtId="0" fontId="4" fillId="0" borderId="0" xfId="0" applyFont="1" applyAlignment="1" applyProtection="1"/>
    <xf numFmtId="0" fontId="4" fillId="0" borderId="0" xfId="0" applyFont="1" applyAlignment="1" applyProtection="1">
      <alignment horizontal="center" vertical="center" wrapText="1"/>
    </xf>
    <xf numFmtId="0" fontId="0" fillId="0" borderId="1" xfId="0" applyBorder="1" applyAlignment="1" applyProtection="1">
      <alignment horizontal="left"/>
    </xf>
    <xf numFmtId="0" fontId="0" fillId="8" borderId="1" xfId="0" applyFill="1" applyBorder="1" applyAlignment="1" applyProtection="1">
      <alignment horizontal="left"/>
    </xf>
    <xf numFmtId="0" fontId="36" fillId="8" borderId="1" xfId="0" applyFont="1" applyFill="1" applyBorder="1" applyAlignment="1" applyProtection="1">
      <alignment horizontal="left"/>
    </xf>
    <xf numFmtId="43" fontId="0" fillId="0" borderId="1" xfId="0" applyNumberFormat="1" applyBorder="1" applyAlignment="1" applyProtection="1">
      <alignment horizontal="left"/>
    </xf>
    <xf numFmtId="0" fontId="4" fillId="0" borderId="0" xfId="0" applyFont="1" applyAlignment="1" applyProtection="1">
      <alignment horizontal="left"/>
    </xf>
    <xf numFmtId="0" fontId="30" fillId="12" borderId="1" xfId="0" applyFont="1" applyFill="1" applyBorder="1" applyAlignment="1" applyProtection="1">
      <alignment horizontal="center" vertical="center"/>
    </xf>
    <xf numFmtId="0" fontId="0" fillId="11" borderId="1" xfId="0" applyFill="1" applyBorder="1" applyAlignment="1" applyProtection="1"/>
    <xf numFmtId="0" fontId="0" fillId="0" borderId="1" xfId="0" applyBorder="1" applyAlignment="1" applyProtection="1"/>
    <xf numFmtId="0" fontId="0" fillId="0" borderId="1" xfId="0" applyBorder="1" applyAlignment="1" applyProtection="1">
      <alignment horizontal="center" vertical="center" wrapText="1"/>
    </xf>
    <xf numFmtId="0" fontId="0" fillId="0" borderId="1" xfId="0" applyFill="1" applyBorder="1" applyAlignment="1" applyProtection="1"/>
    <xf numFmtId="0" fontId="30" fillId="13" borderId="1" xfId="0" applyFont="1" applyFill="1" applyBorder="1" applyAlignment="1" applyProtection="1">
      <alignment horizontal="center" vertical="center"/>
    </xf>
    <xf numFmtId="0" fontId="30" fillId="14" borderId="1" xfId="0" applyFont="1" applyFill="1" applyBorder="1" applyAlignment="1" applyProtection="1">
      <alignment horizontal="center" vertical="center"/>
    </xf>
    <xf numFmtId="0" fontId="41" fillId="0" borderId="1" xfId="0" applyFont="1" applyFill="1" applyBorder="1" applyAlignment="1" applyProtection="1"/>
    <xf numFmtId="0" fontId="9" fillId="15" borderId="27" xfId="0" applyFont="1" applyFill="1" applyBorder="1" applyAlignment="1" applyProtection="1">
      <alignment horizontal="center" vertical="center"/>
      <protection locked="0"/>
    </xf>
    <xf numFmtId="0" fontId="9" fillId="7" borderId="0" xfId="0" applyFont="1" applyFill="1" applyBorder="1" applyAlignment="1" applyProtection="1">
      <alignment horizontal="left" vertical="center" wrapText="1"/>
    </xf>
    <xf numFmtId="0" fontId="0" fillId="7" borderId="0" xfId="0" applyFill="1" applyBorder="1" applyAlignment="1" applyProtection="1">
      <alignment horizontal="left" vertical="center" wrapText="1"/>
    </xf>
    <xf numFmtId="0" fontId="0" fillId="7" borderId="43" xfId="0" applyFill="1" applyBorder="1" applyAlignment="1" applyProtection="1">
      <alignment vertical="top"/>
    </xf>
    <xf numFmtId="0" fontId="0" fillId="15" borderId="35" xfId="0" applyFill="1" applyBorder="1" applyProtection="1">
      <protection locked="0"/>
    </xf>
    <xf numFmtId="0" fontId="0" fillId="15" borderId="35" xfId="0" applyFill="1" applyBorder="1" applyAlignment="1" applyProtection="1">
      <alignment wrapText="1"/>
      <protection locked="0"/>
    </xf>
    <xf numFmtId="0" fontId="0" fillId="15" borderId="37" xfId="0" applyFill="1" applyBorder="1" applyAlignment="1" applyProtection="1">
      <alignment wrapText="1"/>
      <protection locked="0"/>
    </xf>
    <xf numFmtId="0" fontId="14" fillId="7" borderId="0" xfId="0" applyFont="1" applyFill="1" applyBorder="1" applyProtection="1"/>
    <xf numFmtId="0" fontId="0" fillId="7" borderId="0" xfId="0" applyFill="1" applyBorder="1" applyProtection="1"/>
    <xf numFmtId="0" fontId="9" fillId="7" borderId="0" xfId="0" applyFont="1" applyFill="1" applyBorder="1" applyProtection="1"/>
    <xf numFmtId="0" fontId="17" fillId="15" borderId="33" xfId="0" applyFont="1" applyFill="1" applyBorder="1" applyAlignment="1" applyProtection="1">
      <alignment wrapText="1"/>
      <protection locked="0"/>
    </xf>
    <xf numFmtId="0" fontId="17" fillId="15" borderId="1" xfId="0" applyFont="1" applyFill="1" applyBorder="1" applyAlignment="1" applyProtection="1">
      <alignment wrapText="1"/>
      <protection locked="0"/>
    </xf>
    <xf numFmtId="14" fontId="17" fillId="15" borderId="1" xfId="0" applyNumberFormat="1" applyFont="1" applyFill="1" applyBorder="1" applyAlignment="1" applyProtection="1">
      <alignment wrapText="1"/>
      <protection locked="0"/>
    </xf>
    <xf numFmtId="0" fontId="17" fillId="15" borderId="3" xfId="0" applyFont="1" applyFill="1" applyBorder="1" applyAlignment="1" applyProtection="1">
      <alignment wrapText="1"/>
      <protection locked="0"/>
    </xf>
    <xf numFmtId="0" fontId="17" fillId="15" borderId="52" xfId="0" applyFont="1" applyFill="1" applyBorder="1" applyAlignment="1" applyProtection="1">
      <alignment wrapText="1"/>
      <protection locked="0"/>
    </xf>
    <xf numFmtId="0" fontId="17" fillId="15" borderId="5" xfId="0" applyFont="1" applyFill="1" applyBorder="1" applyAlignment="1" applyProtection="1">
      <alignment wrapText="1"/>
      <protection locked="0"/>
    </xf>
    <xf numFmtId="0" fontId="17" fillId="15" borderId="36" xfId="0" applyFont="1" applyFill="1" applyBorder="1" applyAlignment="1" applyProtection="1">
      <alignment wrapText="1"/>
      <protection locked="0"/>
    </xf>
    <xf numFmtId="0" fontId="17" fillId="15" borderId="34" xfId="0" applyFont="1" applyFill="1" applyBorder="1" applyAlignment="1" applyProtection="1">
      <alignment wrapText="1"/>
      <protection locked="0"/>
    </xf>
    <xf numFmtId="0" fontId="17" fillId="15" borderId="22" xfId="0" applyFont="1" applyFill="1" applyBorder="1" applyAlignment="1" applyProtection="1">
      <alignment wrapText="1"/>
      <protection locked="0"/>
    </xf>
    <xf numFmtId="14" fontId="17" fillId="15" borderId="22" xfId="0" applyNumberFormat="1" applyFont="1" applyFill="1" applyBorder="1" applyAlignment="1" applyProtection="1">
      <alignment wrapText="1"/>
      <protection locked="0"/>
    </xf>
    <xf numFmtId="0" fontId="17" fillId="15" borderId="23" xfId="0" applyFont="1" applyFill="1" applyBorder="1" applyAlignment="1" applyProtection="1">
      <alignment wrapText="1"/>
      <protection locked="0"/>
    </xf>
    <xf numFmtId="0" fontId="14" fillId="15" borderId="27" xfId="0" applyFont="1" applyFill="1" applyBorder="1" applyAlignment="1" applyProtection="1">
      <alignment vertical="center" wrapText="1"/>
      <protection locked="0"/>
    </xf>
    <xf numFmtId="0" fontId="9" fillId="0" borderId="45" xfId="0" applyFont="1" applyBorder="1" applyAlignment="1" applyProtection="1">
      <alignment vertical="center" wrapText="1"/>
    </xf>
    <xf numFmtId="0" fontId="9" fillId="3" borderId="0" xfId="0" applyFont="1" applyFill="1" applyBorder="1" applyAlignment="1" applyProtection="1">
      <alignment horizontal="left" vertical="center" wrapText="1" indent="1"/>
    </xf>
    <xf numFmtId="0" fontId="14" fillId="6" borderId="34" xfId="0" applyFont="1" applyFill="1" applyBorder="1" applyAlignment="1" applyProtection="1">
      <alignment wrapText="1"/>
    </xf>
    <xf numFmtId="3" fontId="0" fillId="6" borderId="22" xfId="0" applyNumberFormat="1" applyFill="1" applyBorder="1" applyAlignment="1" applyProtection="1">
      <alignment horizontal="right"/>
    </xf>
    <xf numFmtId="3" fontId="0" fillId="15" borderId="1" xfId="0" applyNumberFormat="1" applyFill="1" applyBorder="1" applyAlignment="1" applyProtection="1">
      <alignment horizontal="right"/>
      <protection locked="0"/>
    </xf>
    <xf numFmtId="0" fontId="14" fillId="6" borderId="11" xfId="0" applyFont="1" applyFill="1" applyBorder="1" applyAlignment="1" applyProtection="1">
      <alignment horizontal="center" wrapText="1"/>
    </xf>
    <xf numFmtId="0" fontId="14" fillId="7" borderId="10" xfId="0" applyFont="1" applyFill="1" applyBorder="1" applyAlignment="1" applyProtection="1">
      <alignment horizontal="center" wrapText="1"/>
    </xf>
    <xf numFmtId="0" fontId="6" fillId="0" borderId="0" xfId="0" applyFont="1" applyBorder="1" applyAlignment="1" applyProtection="1">
      <alignment vertical="center" wrapText="1"/>
    </xf>
    <xf numFmtId="0" fontId="0" fillId="15" borderId="1" xfId="0" applyFill="1" applyBorder="1" applyAlignment="1" applyProtection="1">
      <alignment vertical="center"/>
    </xf>
    <xf numFmtId="0" fontId="6" fillId="0" borderId="0" xfId="0" applyFont="1" applyFill="1" applyBorder="1" applyAlignment="1" applyProtection="1">
      <alignment vertical="center" wrapText="1"/>
    </xf>
    <xf numFmtId="0" fontId="0" fillId="0" borderId="0" xfId="0" applyFill="1" applyBorder="1" applyAlignment="1" applyProtection="1">
      <alignment vertical="center"/>
    </xf>
    <xf numFmtId="0" fontId="14" fillId="0" borderId="1" xfId="0" applyFont="1" applyFill="1" applyBorder="1" applyProtection="1"/>
    <xf numFmtId="3" fontId="0" fillId="19" borderId="1" xfId="0" applyNumberFormat="1" applyFill="1" applyBorder="1" applyProtection="1"/>
    <xf numFmtId="3" fontId="0" fillId="15" borderId="1" xfId="0" applyNumberFormat="1" applyFill="1" applyBorder="1" applyProtection="1">
      <protection locked="0"/>
    </xf>
    <xf numFmtId="0" fontId="14" fillId="20" borderId="33" xfId="0" applyFont="1" applyFill="1" applyBorder="1" applyAlignment="1" applyProtection="1">
      <alignment wrapText="1"/>
    </xf>
    <xf numFmtId="3" fontId="0" fillId="20" borderId="1" xfId="0" applyNumberFormat="1" applyFill="1" applyBorder="1" applyProtection="1"/>
    <xf numFmtId="3" fontId="0" fillId="20" borderId="3" xfId="0" applyNumberFormat="1" applyFill="1" applyBorder="1" applyProtection="1"/>
    <xf numFmtId="3" fontId="0" fillId="2" borderId="3" xfId="0" applyNumberFormat="1" applyFill="1" applyBorder="1" applyProtection="1"/>
    <xf numFmtId="0" fontId="14" fillId="20" borderId="34" xfId="0" applyFont="1" applyFill="1" applyBorder="1" applyAlignment="1" applyProtection="1">
      <alignment wrapText="1"/>
    </xf>
    <xf numFmtId="3" fontId="0" fillId="20" borderId="22" xfId="0" applyNumberFormat="1" applyFill="1" applyBorder="1" applyProtection="1"/>
    <xf numFmtId="3" fontId="0" fillId="20" borderId="23" xfId="0" applyNumberFormat="1" applyFill="1" applyBorder="1" applyProtection="1"/>
    <xf numFmtId="0" fontId="6" fillId="6" borderId="27" xfId="0" applyFont="1" applyFill="1" applyBorder="1" applyProtection="1"/>
    <xf numFmtId="0" fontId="6" fillId="6" borderId="13" xfId="0" applyFont="1" applyFill="1" applyBorder="1" applyProtection="1"/>
    <xf numFmtId="0" fontId="6" fillId="6" borderId="14" xfId="0" applyFont="1" applyFill="1" applyBorder="1" applyProtection="1"/>
    <xf numFmtId="0" fontId="6" fillId="6" borderId="8" xfId="0" applyFont="1" applyFill="1" applyBorder="1" applyProtection="1"/>
    <xf numFmtId="0" fontId="6" fillId="2" borderId="40" xfId="0" applyFont="1" applyFill="1" applyBorder="1" applyAlignment="1" applyProtection="1">
      <alignment wrapText="1"/>
    </xf>
    <xf numFmtId="3" fontId="6" fillId="2" borderId="22"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wrapText="1"/>
    </xf>
    <xf numFmtId="164" fontId="6" fillId="2" borderId="3" xfId="0" applyNumberFormat="1" applyFont="1" applyFill="1" applyBorder="1" applyAlignment="1">
      <alignment horizontal="right" vertical="center" wrapText="1"/>
    </xf>
    <xf numFmtId="3" fontId="6" fillId="2" borderId="2" xfId="0" applyNumberFormat="1" applyFont="1" applyFill="1" applyBorder="1" applyAlignment="1">
      <alignment horizontal="right" vertical="center" wrapText="1"/>
    </xf>
    <xf numFmtId="3" fontId="6" fillId="2" borderId="1" xfId="0" applyNumberFormat="1" applyFont="1" applyFill="1" applyBorder="1" applyAlignment="1">
      <alignment horizontal="right" vertical="center" wrapText="1"/>
    </xf>
    <xf numFmtId="3" fontId="6" fillId="2" borderId="30" xfId="0" applyNumberFormat="1" applyFont="1" applyFill="1" applyBorder="1" applyAlignment="1">
      <alignment horizontal="right" vertical="center" wrapText="1"/>
    </xf>
    <xf numFmtId="3" fontId="6" fillId="2" borderId="3" xfId="0" applyNumberFormat="1" applyFont="1" applyFill="1" applyBorder="1" applyAlignment="1">
      <alignment horizontal="right" vertical="center" wrapText="1"/>
    </xf>
    <xf numFmtId="0" fontId="6" fillId="2" borderId="40" xfId="0" applyFont="1" applyFill="1" applyBorder="1" applyAlignment="1" applyProtection="1">
      <alignment vertical="center" wrapText="1"/>
    </xf>
    <xf numFmtId="0" fontId="6" fillId="2" borderId="17" xfId="0" applyFont="1" applyFill="1" applyBorder="1" applyAlignment="1" applyProtection="1">
      <alignment vertical="center" wrapText="1"/>
    </xf>
    <xf numFmtId="0" fontId="6" fillId="2" borderId="39" xfId="0" applyFont="1" applyFill="1" applyBorder="1" applyAlignment="1">
      <alignment vertical="center"/>
    </xf>
    <xf numFmtId="0" fontId="6" fillId="2" borderId="17" xfId="0" applyFont="1" applyFill="1" applyBorder="1" applyAlignment="1">
      <alignment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0" xfId="0" applyFont="1" applyBorder="1" applyAlignment="1">
      <alignment vertical="center"/>
    </xf>
    <xf numFmtId="3" fontId="6" fillId="6" borderId="31" xfId="0" applyNumberFormat="1" applyFont="1" applyFill="1" applyBorder="1" applyAlignment="1">
      <alignment vertical="center"/>
    </xf>
    <xf numFmtId="3" fontId="6" fillId="6" borderId="6" xfId="0" applyNumberFormat="1" applyFont="1" applyFill="1" applyBorder="1" applyAlignment="1">
      <alignment vertical="center"/>
    </xf>
    <xf numFmtId="3" fontId="6" fillId="6" borderId="7" xfId="0" applyNumberFormat="1" applyFont="1" applyFill="1" applyBorder="1" applyAlignment="1">
      <alignment horizontal="right" vertical="center"/>
    </xf>
    <xf numFmtId="3" fontId="6" fillId="6" borderId="7" xfId="0" applyNumberFormat="1" applyFont="1" applyFill="1" applyBorder="1" applyAlignment="1">
      <alignment vertical="center"/>
    </xf>
    <xf numFmtId="3" fontId="6" fillId="6" borderId="8" xfId="0" applyNumberFormat="1" applyFont="1" applyFill="1" applyBorder="1" applyAlignment="1">
      <alignment vertical="center"/>
    </xf>
    <xf numFmtId="0" fontId="11" fillId="0" borderId="0" xfId="0" applyFont="1" applyBorder="1" applyAlignment="1">
      <alignment vertical="center"/>
    </xf>
    <xf numFmtId="0" fontId="6" fillId="2" borderId="34" xfId="0" applyFont="1" applyFill="1" applyBorder="1" applyAlignment="1" applyProtection="1">
      <alignment horizontal="center" vertical="center" wrapText="1"/>
    </xf>
    <xf numFmtId="0" fontId="6" fillId="2" borderId="68" xfId="0" applyFont="1" applyFill="1" applyBorder="1" applyAlignment="1">
      <alignment vertical="center" wrapText="1"/>
    </xf>
    <xf numFmtId="0" fontId="10"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61" xfId="0" applyFont="1" applyFill="1" applyBorder="1" applyAlignment="1">
      <alignment vertical="center" wrapText="1"/>
    </xf>
    <xf numFmtId="0" fontId="6" fillId="2" borderId="51" xfId="0" applyFont="1" applyFill="1" applyBorder="1" applyAlignment="1">
      <alignment horizontal="right" vertical="center" wrapText="1"/>
    </xf>
    <xf numFmtId="0" fontId="6" fillId="2" borderId="34" xfId="0" applyFont="1" applyFill="1" applyBorder="1" applyAlignment="1">
      <alignment horizontal="right" vertical="center" wrapText="1"/>
    </xf>
    <xf numFmtId="3" fontId="6" fillId="2" borderId="26" xfId="0" applyNumberFormat="1" applyFont="1" applyFill="1" applyBorder="1" applyAlignment="1">
      <alignment horizontal="right" vertical="center" wrapText="1"/>
    </xf>
    <xf numFmtId="3" fontId="6" fillId="2" borderId="23" xfId="0" applyNumberFormat="1" applyFont="1" applyFill="1" applyBorder="1" applyAlignment="1">
      <alignment horizontal="right" vertical="center" wrapText="1"/>
    </xf>
    <xf numFmtId="164" fontId="6" fillId="2" borderId="26" xfId="0" applyNumberFormat="1" applyFont="1" applyFill="1" applyBorder="1" applyAlignment="1">
      <alignment horizontal="right" vertical="center" wrapText="1"/>
    </xf>
    <xf numFmtId="164" fontId="6" fillId="2" borderId="22" xfId="0" applyNumberFormat="1" applyFont="1" applyFill="1" applyBorder="1" applyAlignment="1">
      <alignment horizontal="right" vertical="center" wrapText="1"/>
    </xf>
    <xf numFmtId="164" fontId="6" fillId="2" borderId="23" xfId="0" applyNumberFormat="1" applyFont="1" applyFill="1" applyBorder="1" applyAlignment="1">
      <alignment horizontal="right" vertical="center" wrapText="1"/>
    </xf>
    <xf numFmtId="0" fontId="10" fillId="2" borderId="23" xfId="0" applyFont="1" applyFill="1" applyBorder="1" applyAlignment="1">
      <alignment horizontal="right" vertical="center" wrapText="1"/>
    </xf>
    <xf numFmtId="0" fontId="5" fillId="15" borderId="11" xfId="0" applyFont="1" applyFill="1" applyBorder="1" applyAlignment="1" applyProtection="1">
      <alignment vertical="center" wrapText="1"/>
      <protection locked="0"/>
    </xf>
    <xf numFmtId="3" fontId="5" fillId="15" borderId="9" xfId="0" applyNumberFormat="1" applyFont="1" applyFill="1" applyBorder="1" applyAlignment="1" applyProtection="1">
      <alignment horizontal="right" vertical="center" wrapText="1"/>
      <protection locked="0"/>
    </xf>
    <xf numFmtId="3" fontId="5" fillId="15" borderId="10" xfId="0" applyNumberFormat="1" applyFont="1" applyFill="1" applyBorder="1" applyAlignment="1" applyProtection="1">
      <alignment horizontal="right" vertical="center" wrapText="1"/>
      <protection locked="0"/>
    </xf>
    <xf numFmtId="164" fontId="5" fillId="15" borderId="10" xfId="0" applyNumberFormat="1" applyFont="1" applyFill="1" applyBorder="1" applyAlignment="1" applyProtection="1">
      <alignment horizontal="right" vertical="center" wrapText="1"/>
      <protection locked="0"/>
    </xf>
    <xf numFmtId="164" fontId="5" fillId="15" borderId="16" xfId="0" applyNumberFormat="1" applyFont="1" applyFill="1" applyBorder="1" applyAlignment="1" applyProtection="1">
      <alignment horizontal="right" vertical="center" wrapText="1"/>
      <protection locked="0"/>
    </xf>
    <xf numFmtId="164" fontId="11" fillId="15" borderId="2" xfId="0" applyNumberFormat="1" applyFont="1" applyFill="1" applyBorder="1" applyAlignment="1" applyProtection="1">
      <alignment horizontal="center" vertical="center" wrapText="1"/>
      <protection locked="0"/>
    </xf>
    <xf numFmtId="0" fontId="6" fillId="6" borderId="17" xfId="0" applyFont="1" applyFill="1" applyBorder="1" applyAlignment="1" applyProtection="1">
      <alignment horizontal="right" vertical="center" wrapText="1"/>
    </xf>
    <xf numFmtId="3" fontId="6" fillId="6" borderId="6" xfId="0" applyNumberFormat="1" applyFont="1" applyFill="1" applyBorder="1" applyProtection="1"/>
    <xf numFmtId="3" fontId="6" fillId="6" borderId="7" xfId="0" applyNumberFormat="1" applyFont="1" applyFill="1" applyBorder="1" applyProtection="1"/>
    <xf numFmtId="0" fontId="5" fillId="15" borderId="33" xfId="0" applyFont="1" applyFill="1" applyBorder="1" applyAlignment="1" applyProtection="1">
      <alignment vertical="center" wrapText="1"/>
      <protection locked="0"/>
    </xf>
    <xf numFmtId="0" fontId="5" fillId="15" borderId="32" xfId="0" applyFont="1" applyFill="1" applyBorder="1" applyAlignment="1">
      <alignment vertical="center" wrapText="1"/>
    </xf>
    <xf numFmtId="0" fontId="5" fillId="15" borderId="18" xfId="0" applyFont="1" applyFill="1" applyBorder="1" applyAlignment="1">
      <alignment vertical="center" wrapText="1"/>
    </xf>
    <xf numFmtId="0" fontId="5" fillId="15" borderId="11" xfId="0" applyFont="1" applyFill="1" applyBorder="1" applyAlignment="1">
      <alignment vertical="center" wrapText="1"/>
    </xf>
    <xf numFmtId="0" fontId="5" fillId="15" borderId="62" xfId="0" applyFont="1" applyFill="1" applyBorder="1" applyAlignment="1">
      <alignment vertical="center" wrapText="1"/>
    </xf>
    <xf numFmtId="17" fontId="5" fillId="15" borderId="38" xfId="0" applyNumberFormat="1" applyFont="1" applyFill="1" applyBorder="1" applyAlignment="1">
      <alignment horizontal="right" vertical="center" wrapText="1"/>
    </xf>
    <xf numFmtId="3" fontId="5" fillId="15" borderId="63" xfId="0" applyNumberFormat="1" applyFont="1" applyFill="1" applyBorder="1" applyAlignment="1">
      <alignment horizontal="right" vertical="center" wrapText="1"/>
    </xf>
    <xf numFmtId="3" fontId="5" fillId="15" borderId="18" xfId="0" applyNumberFormat="1" applyFont="1" applyFill="1" applyBorder="1" applyAlignment="1">
      <alignment horizontal="right" vertical="center" wrapText="1"/>
    </xf>
    <xf numFmtId="3" fontId="5" fillId="15" borderId="64" xfId="0" applyNumberFormat="1" applyFont="1" applyFill="1" applyBorder="1" applyAlignment="1">
      <alignment horizontal="right" vertical="center" wrapText="1"/>
    </xf>
    <xf numFmtId="3" fontId="5" fillId="15" borderId="16" xfId="0" applyNumberFormat="1" applyFont="1" applyFill="1" applyBorder="1" applyAlignment="1">
      <alignment horizontal="right" vertical="center" wrapText="1"/>
    </xf>
    <xf numFmtId="164" fontId="5" fillId="15" borderId="9" xfId="0" applyNumberFormat="1" applyFont="1" applyFill="1" applyBorder="1" applyAlignment="1">
      <alignment horizontal="right" vertical="center" wrapText="1"/>
    </xf>
    <xf numFmtId="164" fontId="5" fillId="15" borderId="10" xfId="0" applyNumberFormat="1" applyFont="1" applyFill="1" applyBorder="1" applyAlignment="1">
      <alignment horizontal="right" vertical="center" wrapText="1"/>
    </xf>
    <xf numFmtId="164" fontId="5" fillId="15" borderId="11" xfId="0" applyNumberFormat="1" applyFont="1" applyFill="1" applyBorder="1" applyAlignment="1">
      <alignment horizontal="right" vertical="center" wrapText="1"/>
    </xf>
    <xf numFmtId="164" fontId="5" fillId="15" borderId="9" xfId="0" applyNumberFormat="1" applyFont="1" applyFill="1" applyBorder="1" applyAlignment="1">
      <alignment horizontal="center" vertical="center" wrapText="1"/>
    </xf>
    <xf numFmtId="0" fontId="8" fillId="15" borderId="11" xfId="1" applyFont="1" applyFill="1" applyBorder="1" applyAlignment="1" applyProtection="1">
      <alignment horizontal="center" vertical="center" wrapText="1"/>
    </xf>
    <xf numFmtId="0" fontId="5" fillId="15" borderId="33" xfId="0" applyFont="1" applyFill="1" applyBorder="1" applyAlignment="1">
      <alignment vertical="center" wrapText="1"/>
    </xf>
    <xf numFmtId="0" fontId="5" fillId="15" borderId="1" xfId="0" applyFont="1" applyFill="1" applyBorder="1" applyAlignment="1">
      <alignment vertical="center" wrapText="1"/>
    </xf>
    <xf numFmtId="0" fontId="5" fillId="15" borderId="3" xfId="0" applyFont="1" applyFill="1" applyBorder="1" applyAlignment="1">
      <alignment vertical="center" wrapText="1"/>
    </xf>
    <xf numFmtId="0" fontId="5" fillId="15" borderId="65" xfId="0" applyFont="1" applyFill="1" applyBorder="1" applyAlignment="1">
      <alignment vertical="center" wrapText="1"/>
    </xf>
    <xf numFmtId="17" fontId="5" fillId="15" borderId="33" xfId="0" applyNumberFormat="1" applyFont="1" applyFill="1" applyBorder="1" applyAlignment="1">
      <alignment horizontal="right" vertical="center" wrapText="1"/>
    </xf>
    <xf numFmtId="3" fontId="5" fillId="15" borderId="2" xfId="0" applyNumberFormat="1" applyFont="1" applyFill="1" applyBorder="1" applyAlignment="1">
      <alignment horizontal="right" vertical="center" wrapText="1"/>
    </xf>
    <xf numFmtId="3" fontId="5" fillId="15" borderId="1" xfId="0" applyNumberFormat="1" applyFont="1" applyFill="1" applyBorder="1" applyAlignment="1">
      <alignment horizontal="right" vertical="center" wrapText="1"/>
    </xf>
    <xf numFmtId="3" fontId="5" fillId="15" borderId="29" xfId="0" applyNumberFormat="1" applyFont="1" applyFill="1" applyBorder="1" applyAlignment="1">
      <alignment horizontal="right" vertical="center" wrapText="1"/>
    </xf>
    <xf numFmtId="3" fontId="5" fillId="15" borderId="11" xfId="0" applyNumberFormat="1" applyFont="1" applyFill="1" applyBorder="1" applyAlignment="1">
      <alignment horizontal="right" vertical="center" wrapText="1"/>
    </xf>
    <xf numFmtId="164" fontId="5" fillId="15" borderId="2" xfId="0" applyNumberFormat="1" applyFont="1" applyFill="1" applyBorder="1" applyAlignment="1">
      <alignment horizontal="right" vertical="center" wrapText="1"/>
    </xf>
    <xf numFmtId="164" fontId="5" fillId="15" borderId="1" xfId="0" applyNumberFormat="1" applyFont="1" applyFill="1" applyBorder="1" applyAlignment="1">
      <alignment horizontal="right" vertical="center" wrapText="1"/>
    </xf>
    <xf numFmtId="164" fontId="5" fillId="15" borderId="3" xfId="0" applyNumberFormat="1" applyFont="1" applyFill="1" applyBorder="1" applyAlignment="1">
      <alignment horizontal="right" vertical="center" wrapText="1"/>
    </xf>
    <xf numFmtId="164" fontId="5" fillId="15" borderId="2" xfId="0" applyNumberFormat="1" applyFont="1" applyFill="1" applyBorder="1" applyAlignment="1">
      <alignment horizontal="center" vertical="center" wrapText="1"/>
    </xf>
    <xf numFmtId="0" fontId="10" fillId="15" borderId="3" xfId="0" applyFont="1" applyFill="1" applyBorder="1" applyAlignment="1">
      <alignment horizontal="center" vertical="center" wrapText="1"/>
    </xf>
    <xf numFmtId="0" fontId="5" fillId="15" borderId="33" xfId="0" applyFont="1" applyFill="1" applyBorder="1" applyAlignment="1">
      <alignment horizontal="right" vertical="center" wrapText="1"/>
    </xf>
    <xf numFmtId="0" fontId="5" fillId="15" borderId="66" xfId="0" applyFont="1" applyFill="1" applyBorder="1" applyAlignment="1">
      <alignment vertical="center" wrapText="1"/>
    </xf>
    <xf numFmtId="3" fontId="5" fillId="15" borderId="3" xfId="0" applyNumberFormat="1" applyFont="1" applyFill="1" applyBorder="1" applyAlignment="1">
      <alignment horizontal="right" vertical="center" wrapText="1"/>
    </xf>
    <xf numFmtId="164" fontId="6" fillId="15" borderId="2" xfId="0" applyNumberFormat="1" applyFont="1" applyFill="1" applyBorder="1" applyAlignment="1">
      <alignment horizontal="right" vertical="center" wrapText="1"/>
    </xf>
    <xf numFmtId="164" fontId="6" fillId="15" borderId="3" xfId="0" applyNumberFormat="1" applyFont="1" applyFill="1" applyBorder="1" applyAlignment="1">
      <alignment horizontal="right" vertical="center" wrapText="1"/>
    </xf>
    <xf numFmtId="0" fontId="5" fillId="15" borderId="3" xfId="0" applyFont="1" applyFill="1" applyBorder="1" applyAlignment="1">
      <alignment horizontal="center" vertical="center" wrapText="1"/>
    </xf>
    <xf numFmtId="0" fontId="5" fillId="15" borderId="33" xfId="0" applyFont="1" applyFill="1" applyBorder="1" applyAlignment="1">
      <alignment vertical="center"/>
    </xf>
    <xf numFmtId="0" fontId="5" fillId="15" borderId="1" xfId="0" applyFont="1" applyFill="1" applyBorder="1" applyAlignment="1">
      <alignment horizontal="right" vertical="center"/>
    </xf>
    <xf numFmtId="164" fontId="5" fillId="15" borderId="2" xfId="0" applyNumberFormat="1" applyFont="1" applyFill="1" applyBorder="1" applyAlignment="1">
      <alignment horizontal="right" vertical="center"/>
    </xf>
    <xf numFmtId="164" fontId="5" fillId="15" borderId="3" xfId="0" applyNumberFormat="1" applyFont="1" applyFill="1" applyBorder="1" applyAlignment="1">
      <alignment horizontal="right" vertical="center"/>
    </xf>
    <xf numFmtId="0" fontId="8" fillId="15" borderId="3" xfId="1" applyFont="1" applyFill="1" applyBorder="1" applyAlignment="1" applyProtection="1">
      <alignment horizontal="center" vertical="center" wrapText="1"/>
    </xf>
    <xf numFmtId="0" fontId="6" fillId="6" borderId="67" xfId="0" applyFont="1" applyFill="1" applyBorder="1" applyAlignment="1">
      <alignment horizontal="right" vertical="center" wrapText="1"/>
    </xf>
    <xf numFmtId="0" fontId="6" fillId="6" borderId="13" xfId="0" applyFont="1" applyFill="1" applyBorder="1" applyAlignment="1">
      <alignment horizontal="right" vertical="center" wrapText="1"/>
    </xf>
    <xf numFmtId="3" fontId="6" fillId="6" borderId="13" xfId="0" applyNumberFormat="1" applyFont="1" applyFill="1" applyBorder="1" applyAlignment="1">
      <alignment vertical="center"/>
    </xf>
    <xf numFmtId="3" fontId="6" fillId="6" borderId="14" xfId="0" applyNumberFormat="1" applyFont="1" applyFill="1" applyBorder="1" applyAlignment="1">
      <alignment horizontal="right" vertical="center"/>
    </xf>
    <xf numFmtId="3" fontId="6" fillId="6" borderId="14" xfId="0" applyNumberFormat="1" applyFont="1" applyFill="1" applyBorder="1" applyAlignment="1">
      <alignment vertical="center"/>
    </xf>
    <xf numFmtId="3" fontId="6" fillId="6" borderId="12" xfId="0" applyNumberFormat="1" applyFont="1" applyFill="1" applyBorder="1" applyAlignment="1">
      <alignment vertical="center"/>
    </xf>
    <xf numFmtId="164" fontId="6" fillId="6" borderId="13" xfId="0" applyNumberFormat="1" applyFont="1" applyFill="1" applyBorder="1" applyAlignment="1">
      <alignment vertical="center" wrapText="1"/>
    </xf>
    <xf numFmtId="164" fontId="6" fillId="6" borderId="14" xfId="0" applyNumberFormat="1" applyFont="1" applyFill="1" applyBorder="1" applyAlignment="1">
      <alignment vertical="center" wrapText="1"/>
    </xf>
    <xf numFmtId="164" fontId="6" fillId="6" borderId="12" xfId="0" applyNumberFormat="1" applyFont="1" applyFill="1" applyBorder="1" applyAlignment="1">
      <alignment vertical="center" wrapText="1"/>
    </xf>
    <xf numFmtId="0" fontId="5" fillId="17" borderId="0" xfId="0" applyFont="1" applyFill="1" applyBorder="1" applyProtection="1"/>
    <xf numFmtId="0" fontId="6" fillId="6" borderId="17" xfId="0" applyFont="1" applyFill="1" applyBorder="1" applyAlignment="1" applyProtection="1">
      <alignment horizontal="center" wrapText="1"/>
    </xf>
    <xf numFmtId="3" fontId="5" fillId="15" borderId="29" xfId="0" applyNumberFormat="1" applyFont="1" applyFill="1" applyBorder="1" applyAlignment="1" applyProtection="1">
      <alignment horizontal="right" vertical="center" wrapText="1"/>
      <protection locked="0"/>
    </xf>
    <xf numFmtId="164" fontId="5" fillId="15" borderId="32" xfId="0" applyNumberFormat="1" applyFont="1" applyFill="1" applyBorder="1" applyAlignment="1" applyProtection="1">
      <alignment horizontal="right" vertical="center" wrapText="1"/>
      <protection locked="0"/>
    </xf>
    <xf numFmtId="3" fontId="6" fillId="6" borderId="8" xfId="0" applyNumberFormat="1" applyFont="1" applyFill="1" applyBorder="1" applyProtection="1"/>
    <xf numFmtId="0" fontId="5" fillId="15" borderId="29" xfId="0" applyFont="1" applyFill="1" applyBorder="1" applyAlignment="1" applyProtection="1">
      <alignment vertical="center" wrapText="1"/>
      <protection locked="0"/>
    </xf>
    <xf numFmtId="0" fontId="5" fillId="15" borderId="19" xfId="0" applyFont="1" applyFill="1" applyBorder="1" applyAlignment="1" applyProtection="1">
      <alignment vertical="center" wrapText="1"/>
      <protection locked="0"/>
    </xf>
    <xf numFmtId="0" fontId="5" fillId="15" borderId="19" xfId="0" applyFont="1" applyFill="1" applyBorder="1" applyAlignment="1" applyProtection="1">
      <alignment horizontal="right" vertical="center" wrapText="1"/>
      <protection locked="0"/>
    </xf>
    <xf numFmtId="164" fontId="9" fillId="15" borderId="2" xfId="0" applyNumberFormat="1" applyFont="1" applyFill="1" applyBorder="1" applyAlignment="1" applyProtection="1">
      <alignment horizontal="center" vertical="center" wrapText="1"/>
      <protection locked="0"/>
    </xf>
    <xf numFmtId="0" fontId="8" fillId="15" borderId="3" xfId="1" applyFont="1" applyFill="1" applyBorder="1" applyAlignment="1" applyProtection="1">
      <alignment horizontal="center" vertical="center" wrapText="1"/>
      <protection locked="0"/>
    </xf>
    <xf numFmtId="0" fontId="5" fillId="15" borderId="34" xfId="0" applyFont="1" applyFill="1" applyBorder="1" applyAlignment="1" applyProtection="1">
      <alignment vertical="center" wrapText="1"/>
      <protection locked="0"/>
    </xf>
    <xf numFmtId="0" fontId="5" fillId="15" borderId="50" xfId="0" applyFont="1" applyFill="1" applyBorder="1" applyAlignment="1" applyProtection="1">
      <alignment vertical="center" wrapText="1"/>
      <protection locked="0"/>
    </xf>
    <xf numFmtId="0" fontId="5" fillId="15" borderId="23" xfId="0" applyFont="1" applyFill="1" applyBorder="1" applyAlignment="1" applyProtection="1">
      <alignment vertical="center" wrapText="1"/>
      <protection locked="0"/>
    </xf>
    <xf numFmtId="0" fontId="6" fillId="18" borderId="50" xfId="0" applyFont="1" applyFill="1" applyBorder="1" applyAlignment="1" applyProtection="1">
      <alignment horizontal="center" vertical="center" wrapText="1"/>
    </xf>
    <xf numFmtId="0" fontId="6" fillId="18" borderId="23" xfId="0" applyFont="1" applyFill="1" applyBorder="1" applyAlignment="1" applyProtection="1">
      <alignment horizontal="center" vertical="center" wrapText="1"/>
    </xf>
    <xf numFmtId="0" fontId="0" fillId="7" borderId="0" xfId="0" applyFill="1"/>
    <xf numFmtId="0" fontId="0" fillId="15" borderId="27" xfId="0" applyFill="1" applyBorder="1"/>
    <xf numFmtId="0" fontId="9" fillId="15" borderId="34" xfId="0" applyFont="1" applyFill="1" applyBorder="1" applyAlignment="1" applyProtection="1">
      <alignment wrapText="1"/>
      <protection locked="0"/>
    </xf>
    <xf numFmtId="0" fontId="9" fillId="15" borderId="22" xfId="0" applyFont="1" applyFill="1" applyBorder="1" applyAlignment="1" applyProtection="1">
      <alignment wrapText="1"/>
      <protection locked="0"/>
    </xf>
    <xf numFmtId="0" fontId="9" fillId="15" borderId="23" xfId="0" applyFont="1" applyFill="1" applyBorder="1" applyAlignment="1" applyProtection="1">
      <alignment wrapText="1"/>
      <protection locked="0"/>
    </xf>
    <xf numFmtId="0" fontId="14" fillId="3" borderId="18" xfId="0" applyFont="1" applyFill="1" applyBorder="1" applyAlignment="1">
      <alignment horizontal="center" wrapText="1"/>
    </xf>
    <xf numFmtId="0" fontId="14" fillId="3" borderId="16" xfId="0" applyFont="1" applyFill="1" applyBorder="1" applyAlignment="1">
      <alignment horizontal="center" wrapText="1"/>
    </xf>
    <xf numFmtId="0" fontId="14" fillId="0" borderId="16" xfId="0" applyFont="1" applyBorder="1" applyAlignment="1" applyProtection="1">
      <alignment horizontal="center" wrapText="1"/>
    </xf>
    <xf numFmtId="0" fontId="14" fillId="3" borderId="18" xfId="0" applyFont="1" applyFill="1" applyBorder="1" applyAlignment="1" applyProtection="1">
      <alignment horizontal="center" wrapText="1"/>
    </xf>
    <xf numFmtId="0" fontId="14" fillId="3" borderId="16" xfId="0" applyFont="1" applyFill="1" applyBorder="1" applyAlignment="1" applyProtection="1">
      <alignment horizontal="center" wrapText="1"/>
    </xf>
    <xf numFmtId="0" fontId="9" fillId="15" borderId="33" xfId="0" applyFont="1" applyFill="1" applyBorder="1" applyAlignment="1" applyProtection="1">
      <alignment horizontal="left" vertical="center" wrapText="1"/>
    </xf>
    <xf numFmtId="0" fontId="9" fillId="15" borderId="1" xfId="0" applyFont="1" applyFill="1" applyBorder="1" applyAlignment="1" applyProtection="1">
      <alignment horizontal="left" vertical="center" wrapText="1"/>
    </xf>
    <xf numFmtId="14" fontId="9" fillId="15" borderId="1" xfId="0" applyNumberFormat="1" applyFont="1" applyFill="1" applyBorder="1" applyAlignment="1" applyProtection="1">
      <alignment horizontal="left" vertical="center" wrapText="1"/>
    </xf>
    <xf numFmtId="1" fontId="9" fillId="15" borderId="1" xfId="0" applyNumberFormat="1" applyFont="1" applyFill="1" applyBorder="1" applyAlignment="1" applyProtection="1">
      <alignment horizontal="left" vertical="center" wrapText="1"/>
    </xf>
    <xf numFmtId="0" fontId="9" fillId="15" borderId="3" xfId="0" applyFont="1" applyFill="1" applyBorder="1" applyAlignment="1" applyProtection="1">
      <alignment horizontal="left" vertical="center" wrapText="1"/>
    </xf>
    <xf numFmtId="0" fontId="9" fillId="15" borderId="33" xfId="0" applyFont="1" applyFill="1" applyBorder="1" applyAlignment="1" applyProtection="1">
      <alignment horizontal="left" vertical="center"/>
    </xf>
    <xf numFmtId="0" fontId="9" fillId="15" borderId="1" xfId="0" applyFont="1" applyFill="1" applyBorder="1" applyAlignment="1" applyProtection="1">
      <alignment horizontal="left" vertical="center"/>
    </xf>
    <xf numFmtId="0" fontId="9" fillId="15" borderId="3" xfId="0" applyFont="1" applyFill="1" applyBorder="1" applyAlignment="1" applyProtection="1">
      <alignment horizontal="left" vertical="center"/>
    </xf>
    <xf numFmtId="0" fontId="9" fillId="15" borderId="34" xfId="0" applyFont="1" applyFill="1" applyBorder="1" applyAlignment="1" applyProtection="1">
      <alignment horizontal="left" vertical="center" wrapText="1"/>
    </xf>
    <xf numFmtId="0" fontId="9" fillId="15" borderId="22" xfId="0" applyFont="1" applyFill="1" applyBorder="1" applyAlignment="1" applyProtection="1">
      <alignment horizontal="left" vertical="center" wrapText="1"/>
    </xf>
    <xf numFmtId="14" fontId="9" fillId="15" borderId="22" xfId="0" applyNumberFormat="1" applyFont="1" applyFill="1" applyBorder="1" applyAlignment="1" applyProtection="1">
      <alignment horizontal="left" vertical="center" wrapText="1"/>
    </xf>
    <xf numFmtId="0" fontId="9" fillId="15" borderId="22" xfId="0" applyNumberFormat="1" applyFont="1" applyFill="1" applyBorder="1" applyAlignment="1" applyProtection="1">
      <alignment horizontal="left" vertical="center" wrapText="1"/>
    </xf>
    <xf numFmtId="0" fontId="9" fillId="15" borderId="23" xfId="0" applyFont="1" applyFill="1" applyBorder="1" applyAlignment="1" applyProtection="1">
      <alignment horizontal="left" vertical="center" wrapText="1"/>
    </xf>
    <xf numFmtId="0" fontId="9" fillId="15" borderId="1" xfId="0" applyFont="1" applyFill="1" applyBorder="1" applyAlignment="1" applyProtection="1">
      <alignment wrapText="1"/>
      <protection locked="0"/>
    </xf>
    <xf numFmtId="0" fontId="9" fillId="15" borderId="3" xfId="0" applyFont="1" applyFill="1" applyBorder="1" applyAlignment="1" applyProtection="1">
      <alignment wrapText="1"/>
      <protection locked="0"/>
    </xf>
    <xf numFmtId="0" fontId="0" fillId="0" borderId="0" xfId="0" applyBorder="1"/>
    <xf numFmtId="14" fontId="9" fillId="15" borderId="1" xfId="0" applyNumberFormat="1" applyFont="1" applyFill="1" applyBorder="1" applyAlignment="1" applyProtection="1">
      <alignment wrapText="1"/>
      <protection locked="0"/>
    </xf>
    <xf numFmtId="0" fontId="9" fillId="15" borderId="52" xfId="0" applyFont="1" applyFill="1" applyBorder="1" applyAlignment="1" applyProtection="1">
      <alignment wrapText="1"/>
      <protection locked="0"/>
    </xf>
    <xf numFmtId="0" fontId="9" fillId="15" borderId="5" xfId="0" applyFont="1" applyFill="1" applyBorder="1" applyAlignment="1" applyProtection="1">
      <alignment wrapText="1"/>
      <protection locked="0"/>
    </xf>
    <xf numFmtId="0" fontId="9" fillId="15" borderId="36" xfId="0" applyFont="1" applyFill="1" applyBorder="1" applyAlignment="1" applyProtection="1">
      <alignment wrapText="1"/>
      <protection locked="0"/>
    </xf>
    <xf numFmtId="14" fontId="9" fillId="15" borderId="22" xfId="0" applyNumberFormat="1" applyFont="1" applyFill="1" applyBorder="1" applyAlignment="1" applyProtection="1">
      <alignment wrapText="1"/>
      <protection locked="0"/>
    </xf>
    <xf numFmtId="0" fontId="50" fillId="0" borderId="0" xfId="1" applyFont="1" applyBorder="1" applyAlignment="1" applyProtection="1">
      <protection locked="0"/>
    </xf>
    <xf numFmtId="0" fontId="9" fillId="0" borderId="0" xfId="0" applyFont="1" applyBorder="1" applyAlignment="1" applyProtection="1">
      <alignment horizontal="left" vertical="center" wrapText="1"/>
    </xf>
    <xf numFmtId="0" fontId="0" fillId="0" borderId="0" xfId="0" applyBorder="1" applyAlignment="1" applyProtection="1">
      <alignment horizontal="left" vertical="center"/>
    </xf>
    <xf numFmtId="0" fontId="9" fillId="0" borderId="0" xfId="0" applyFont="1" applyBorder="1" applyAlignment="1">
      <alignment horizontal="left" vertical="top" wrapText="1"/>
    </xf>
    <xf numFmtId="0" fontId="15" fillId="7" borderId="0" xfId="0" applyFont="1" applyFill="1" applyBorder="1" applyAlignment="1" applyProtection="1">
      <alignment horizontal="left" vertical="top" wrapText="1"/>
    </xf>
    <xf numFmtId="165" fontId="18" fillId="21" borderId="4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5" fillId="21" borderId="11" xfId="0" applyFont="1" applyFill="1" applyBorder="1" applyAlignment="1" applyProtection="1">
      <alignment vertical="center" wrapText="1"/>
      <protection locked="0"/>
    </xf>
    <xf numFmtId="0" fontId="0" fillId="0" borderId="0" xfId="0" applyFill="1" applyProtection="1"/>
    <xf numFmtId="0" fontId="15" fillId="0" borderId="0" xfId="0" applyFont="1" applyFill="1" applyBorder="1" applyAlignment="1" applyProtection="1">
      <alignment horizontal="left" vertical="top" wrapText="1"/>
    </xf>
    <xf numFmtId="0" fontId="0" fillId="0" borderId="0" xfId="0" applyFill="1" applyBorder="1" applyAlignment="1" applyProtection="1">
      <alignment vertical="top" wrapText="1"/>
      <protection locked="0"/>
    </xf>
    <xf numFmtId="0" fontId="8" fillId="0" borderId="0" xfId="1" applyBorder="1" applyAlignment="1" applyProtection="1"/>
    <xf numFmtId="3" fontId="0" fillId="15" borderId="30" xfId="0" applyNumberFormat="1" applyFill="1" applyBorder="1" applyAlignment="1" applyProtection="1">
      <alignment horizontal="right"/>
      <protection locked="0"/>
    </xf>
    <xf numFmtId="3" fontId="0" fillId="22" borderId="22" xfId="0" applyNumberFormat="1" applyFill="1" applyBorder="1" applyAlignment="1" applyProtection="1">
      <alignment horizontal="right"/>
    </xf>
    <xf numFmtId="0" fontId="6" fillId="6" borderId="45" xfId="0" applyFont="1" applyFill="1" applyBorder="1" applyAlignment="1" applyProtection="1">
      <alignment vertical="center" wrapText="1"/>
    </xf>
    <xf numFmtId="0" fontId="6" fillId="6" borderId="3" xfId="0" applyFont="1" applyFill="1" applyBorder="1" applyAlignment="1" applyProtection="1">
      <alignment horizontal="right" vertical="center" wrapText="1"/>
    </xf>
    <xf numFmtId="0" fontId="6" fillId="6" borderId="33" xfId="0" applyFont="1" applyFill="1" applyBorder="1" applyAlignment="1" applyProtection="1">
      <alignment horizontal="right" vertical="center"/>
    </xf>
    <xf numFmtId="171" fontId="18" fillId="6" borderId="70" xfId="9" applyNumberFormat="1" applyFont="1" applyFill="1" applyBorder="1" applyProtection="1"/>
    <xf numFmtId="0" fontId="29" fillId="0" borderId="54" xfId="0" applyFont="1" applyBorder="1" applyAlignment="1">
      <alignment vertical="top" wrapText="1"/>
    </xf>
    <xf numFmtId="0" fontId="9" fillId="0" borderId="0" xfId="0" applyFont="1" applyAlignment="1" applyProtection="1">
      <alignment horizontal="left" wrapText="1" indent="2"/>
    </xf>
    <xf numFmtId="3" fontId="5" fillId="15" borderId="11" xfId="0" applyNumberFormat="1" applyFont="1" applyFill="1" applyBorder="1" applyAlignment="1" applyProtection="1">
      <alignment horizontal="right" vertical="center" wrapText="1"/>
      <protection locked="0"/>
    </xf>
    <xf numFmtId="164" fontId="5" fillId="15" borderId="9" xfId="0" applyNumberFormat="1" applyFont="1" applyFill="1" applyBorder="1" applyAlignment="1" applyProtection="1">
      <alignment horizontal="right" vertical="center" wrapText="1"/>
      <protection locked="0"/>
    </xf>
    <xf numFmtId="0" fontId="12" fillId="15" borderId="3" xfId="1" applyFont="1" applyFill="1" applyBorder="1" applyAlignment="1" applyProtection="1">
      <alignment horizontal="center" vertical="center" wrapText="1"/>
      <protection locked="0"/>
    </xf>
    <xf numFmtId="0" fontId="5" fillId="15" borderId="32" xfId="0" applyFont="1" applyFill="1" applyBorder="1" applyAlignment="1" applyProtection="1">
      <alignment horizontal="right" vertical="center" wrapText="1"/>
      <protection locked="0"/>
    </xf>
    <xf numFmtId="0" fontId="6" fillId="2" borderId="12" xfId="0" applyFont="1" applyFill="1" applyBorder="1" applyAlignment="1" applyProtection="1">
      <alignment horizontal="center" vertical="center" wrapText="1"/>
    </xf>
    <xf numFmtId="0" fontId="6" fillId="2" borderId="71" xfId="0" applyFont="1" applyFill="1" applyBorder="1" applyAlignment="1" applyProtection="1">
      <alignment horizontal="center" vertical="center" wrapText="1"/>
    </xf>
    <xf numFmtId="0" fontId="6" fillId="2" borderId="72" xfId="0" applyFont="1" applyFill="1" applyBorder="1" applyAlignment="1" applyProtection="1">
      <alignment horizontal="center" vertical="center" wrapText="1"/>
    </xf>
    <xf numFmtId="0" fontId="5" fillId="6" borderId="1" xfId="0" applyFont="1" applyFill="1" applyBorder="1" applyProtection="1"/>
    <xf numFmtId="0" fontId="6" fillId="6" borderId="22" xfId="0" applyFont="1" applyFill="1" applyBorder="1" applyAlignment="1" applyProtection="1">
      <alignment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18" fillId="21" borderId="37" xfId="0" applyFont="1" applyFill="1" applyBorder="1" applyAlignment="1" applyProtection="1">
      <alignment horizontal="center" wrapText="1"/>
      <protection locked="0"/>
    </xf>
    <xf numFmtId="0" fontId="14" fillId="21" borderId="27" xfId="0" applyFont="1" applyFill="1" applyBorder="1" applyAlignment="1" applyProtection="1">
      <alignment vertical="center"/>
      <protection locked="0"/>
    </xf>
    <xf numFmtId="0" fontId="6" fillId="21" borderId="11" xfId="0" applyFont="1" applyFill="1" applyBorder="1" applyAlignment="1" applyProtection="1">
      <alignment horizontal="center" vertical="center" wrapText="1"/>
      <protection locked="0"/>
    </xf>
    <xf numFmtId="0" fontId="5" fillId="21" borderId="11" xfId="0" applyFont="1" applyFill="1" applyBorder="1" applyAlignment="1">
      <alignment vertical="center" wrapText="1"/>
    </xf>
    <xf numFmtId="164" fontId="5" fillId="21" borderId="10" xfId="0" applyNumberFormat="1" applyFont="1" applyFill="1" applyBorder="1" applyAlignment="1">
      <alignment horizontal="right" vertical="center" wrapText="1"/>
    </xf>
    <xf numFmtId="3" fontId="5" fillId="21" borderId="9" xfId="0" applyNumberFormat="1" applyFont="1" applyFill="1" applyBorder="1" applyAlignment="1">
      <alignment horizontal="right" vertical="center" wrapText="1"/>
    </xf>
    <xf numFmtId="3" fontId="5" fillId="21" borderId="10" xfId="0" applyNumberFormat="1" applyFont="1" applyFill="1" applyBorder="1" applyAlignment="1">
      <alignment horizontal="right" vertical="center" wrapText="1"/>
    </xf>
    <xf numFmtId="0" fontId="5" fillId="21" borderId="18" xfId="0" applyFont="1" applyFill="1" applyBorder="1" applyAlignment="1">
      <alignment vertical="center" wrapText="1"/>
    </xf>
    <xf numFmtId="0" fontId="5" fillId="21" borderId="19" xfId="0" applyFont="1" applyFill="1" applyBorder="1" applyAlignment="1">
      <alignment horizontal="left" vertical="center" wrapText="1"/>
    </xf>
    <xf numFmtId="3" fontId="5" fillId="21" borderId="10" xfId="0" applyNumberFormat="1" applyFont="1" applyFill="1" applyBorder="1" applyAlignment="1">
      <alignment horizontal="center" vertical="center" wrapText="1"/>
    </xf>
    <xf numFmtId="3" fontId="5" fillId="21" borderId="29" xfId="0" applyNumberFormat="1" applyFont="1" applyFill="1" applyBorder="1" applyAlignment="1">
      <alignment horizontal="center" vertical="center" wrapText="1"/>
    </xf>
    <xf numFmtId="164" fontId="5" fillId="21" borderId="32" xfId="0" applyNumberFormat="1" applyFont="1" applyFill="1" applyBorder="1" applyAlignment="1">
      <alignment horizontal="right" vertical="center" wrapText="1"/>
    </xf>
    <xf numFmtId="164" fontId="5" fillId="21" borderId="10" xfId="0" applyNumberFormat="1" applyFont="1" applyFill="1" applyBorder="1" applyAlignment="1">
      <alignment horizontal="center" vertical="center" wrapText="1"/>
    </xf>
    <xf numFmtId="164" fontId="5" fillId="21" borderId="16" xfId="0" applyNumberFormat="1" applyFont="1" applyFill="1" applyBorder="1" applyAlignment="1">
      <alignment horizontal="right" vertical="center" wrapText="1"/>
    </xf>
    <xf numFmtId="164" fontId="9" fillId="21" borderId="2" xfId="0" applyNumberFormat="1" applyFont="1" applyFill="1" applyBorder="1" applyAlignment="1">
      <alignment horizontal="center" vertical="center" wrapText="1"/>
    </xf>
    <xf numFmtId="0" fontId="8" fillId="21" borderId="3" xfId="1" applyFont="1" applyFill="1" applyBorder="1" applyAlignment="1" applyProtection="1">
      <alignment horizontal="center" vertical="center" wrapText="1"/>
    </xf>
    <xf numFmtId="0" fontId="9" fillId="21" borderId="23" xfId="0" applyFont="1" applyFill="1" applyBorder="1" applyAlignment="1" applyProtection="1">
      <alignment horizontal="center" vertical="center" wrapText="1"/>
      <protection locked="0"/>
    </xf>
    <xf numFmtId="0" fontId="18" fillId="21" borderId="0" xfId="0" applyFont="1" applyFill="1"/>
    <xf numFmtId="0" fontId="9" fillId="21" borderId="0" xfId="0" applyFont="1" applyFill="1" applyBorder="1"/>
    <xf numFmtId="0" fontId="0" fillId="21" borderId="0" xfId="0" applyFill="1" applyBorder="1"/>
    <xf numFmtId="0" fontId="54" fillId="0" borderId="10" xfId="0" applyFont="1" applyBorder="1" applyAlignment="1">
      <alignment horizontal="center" vertical="center" wrapText="1"/>
    </xf>
    <xf numFmtId="0" fontId="14" fillId="0" borderId="10" xfId="0" applyFont="1" applyBorder="1" applyAlignment="1">
      <alignment horizontal="center" wrapText="1"/>
    </xf>
    <xf numFmtId="14" fontId="0" fillId="16" borderId="27" xfId="0" applyNumberFormat="1" applyFill="1" applyBorder="1" applyAlignment="1" applyProtection="1">
      <alignment vertical="top" wrapText="1"/>
      <protection locked="0"/>
    </xf>
    <xf numFmtId="0" fontId="17" fillId="15" borderId="2" xfId="0" applyFont="1" applyFill="1" applyBorder="1" applyAlignment="1">
      <alignment wrapText="1"/>
    </xf>
    <xf numFmtId="0" fontId="0" fillId="15" borderId="2" xfId="0" applyFill="1" applyBorder="1"/>
    <xf numFmtId="0" fontId="0" fillId="20" borderId="0" xfId="0" applyFill="1"/>
    <xf numFmtId="3" fontId="0" fillId="3" borderId="1" xfId="0" applyNumberFormat="1" applyFill="1" applyBorder="1" applyAlignment="1" applyProtection="1">
      <alignment horizontal="right"/>
      <protection locked="0"/>
    </xf>
    <xf numFmtId="17" fontId="5" fillId="21" borderId="9" xfId="0" applyNumberFormat="1" applyFont="1" applyFill="1" applyBorder="1" applyAlignment="1">
      <alignment horizontal="right" vertical="center" wrapText="1"/>
    </xf>
    <xf numFmtId="0" fontId="55" fillId="0" borderId="1" xfId="0" applyFont="1" applyFill="1" applyBorder="1" applyAlignment="1">
      <alignment vertical="top" wrapText="1"/>
    </xf>
    <xf numFmtId="0" fontId="55" fillId="0" borderId="1" xfId="2" applyFont="1" applyFill="1" applyBorder="1" applyAlignment="1">
      <alignment vertical="top" wrapText="1"/>
    </xf>
    <xf numFmtId="0" fontId="55" fillId="0" borderId="74" xfId="0" applyFont="1" applyFill="1" applyBorder="1" applyAlignment="1">
      <alignment vertical="top" wrapText="1"/>
    </xf>
    <xf numFmtId="0" fontId="56" fillId="0" borderId="1" xfId="2" applyFont="1" applyFill="1" applyBorder="1" applyAlignment="1">
      <alignment vertical="top"/>
    </xf>
    <xf numFmtId="0" fontId="56" fillId="0" borderId="1" xfId="0" applyFont="1" applyBorder="1" applyAlignment="1">
      <alignment vertical="top"/>
    </xf>
    <xf numFmtId="0" fontId="55" fillId="7" borderId="1" xfId="0" applyFont="1" applyFill="1" applyBorder="1" applyAlignment="1">
      <alignment vertical="center" wrapText="1"/>
    </xf>
    <xf numFmtId="0" fontId="55" fillId="7" borderId="5" xfId="0" applyFont="1" applyFill="1" applyBorder="1" applyAlignment="1">
      <alignment vertical="center" wrapText="1"/>
    </xf>
    <xf numFmtId="0" fontId="0" fillId="7" borderId="1" xfId="0" applyFill="1" applyBorder="1"/>
    <xf numFmtId="0" fontId="0" fillId="7" borderId="5" xfId="0" applyFill="1" applyBorder="1" applyAlignment="1">
      <alignment horizontal="center"/>
    </xf>
    <xf numFmtId="0" fontId="55" fillId="7" borderId="10" xfId="0" applyFont="1" applyFill="1" applyBorder="1" applyAlignment="1">
      <alignment vertical="center" wrapText="1"/>
    </xf>
    <xf numFmtId="0" fontId="0" fillId="7" borderId="10" xfId="0" applyFill="1" applyBorder="1" applyAlignment="1">
      <alignment horizontal="center"/>
    </xf>
    <xf numFmtId="0" fontId="9" fillId="7" borderId="5" xfId="0" applyFont="1" applyFill="1" applyBorder="1" applyAlignment="1">
      <alignment vertical="top" wrapText="1"/>
    </xf>
    <xf numFmtId="0" fontId="9" fillId="7" borderId="10" xfId="0" applyFont="1" applyFill="1" applyBorder="1" applyAlignment="1">
      <alignment vertical="top" wrapText="1"/>
    </xf>
    <xf numFmtId="3" fontId="55" fillId="7" borderId="1" xfId="0" applyNumberFormat="1" applyFont="1" applyFill="1" applyBorder="1" applyAlignment="1">
      <alignment horizontal="left" vertical="center" wrapText="1"/>
    </xf>
    <xf numFmtId="0" fontId="54" fillId="21" borderId="37" xfId="0" applyFont="1" applyFill="1" applyBorder="1" applyAlignment="1">
      <alignment horizontal="center"/>
    </xf>
    <xf numFmtId="0" fontId="55" fillId="7" borderId="37" xfId="0" applyFont="1" applyFill="1" applyBorder="1" applyAlignment="1">
      <alignment vertical="center" wrapText="1"/>
    </xf>
    <xf numFmtId="0" fontId="55" fillId="7" borderId="1" xfId="0" applyFont="1" applyFill="1" applyBorder="1" applyAlignment="1">
      <alignment horizontal="left" vertical="center" wrapText="1"/>
    </xf>
    <xf numFmtId="0" fontId="55" fillId="7" borderId="1" xfId="0" applyFont="1" applyFill="1" applyBorder="1" applyAlignment="1">
      <alignment horizontal="center" vertical="center" wrapText="1"/>
    </xf>
    <xf numFmtId="0" fontId="55" fillId="7" borderId="1" xfId="0" quotePrefix="1" applyFont="1" applyFill="1" applyBorder="1" applyAlignment="1">
      <alignment horizontal="right" vertical="center" wrapText="1"/>
    </xf>
    <xf numFmtId="3" fontId="55" fillId="7" borderId="1" xfId="0" applyNumberFormat="1" applyFont="1" applyFill="1" applyBorder="1" applyAlignment="1">
      <alignment vertical="top" wrapText="1"/>
    </xf>
    <xf numFmtId="0" fontId="58" fillId="7" borderId="1" xfId="0" applyFont="1" applyFill="1" applyBorder="1"/>
    <xf numFmtId="49" fontId="56" fillId="7" borderId="1" xfId="0" applyNumberFormat="1" applyFont="1" applyFill="1" applyBorder="1" applyAlignment="1" applyProtection="1">
      <alignment horizontal="center" vertical="top"/>
    </xf>
    <xf numFmtId="49" fontId="56" fillId="7" borderId="1" xfId="0" applyNumberFormat="1" applyFont="1" applyFill="1" applyBorder="1" applyAlignment="1" applyProtection="1">
      <alignment vertical="top" wrapText="1"/>
    </xf>
    <xf numFmtId="49" fontId="56" fillId="7" borderId="1" xfId="0" applyNumberFormat="1" applyFont="1" applyFill="1" applyBorder="1" applyAlignment="1" applyProtection="1">
      <alignment horizontal="left" vertical="top" wrapText="1"/>
    </xf>
    <xf numFmtId="49" fontId="56" fillId="7" borderId="1" xfId="0" applyNumberFormat="1" applyFont="1" applyFill="1" applyBorder="1" applyAlignment="1" applyProtection="1">
      <alignment horizontal="left" vertical="top"/>
    </xf>
    <xf numFmtId="0" fontId="55" fillId="7" borderId="1" xfId="0" applyFont="1" applyFill="1" applyBorder="1" applyAlignment="1">
      <alignment horizontal="center" vertical="top" wrapText="1"/>
    </xf>
    <xf numFmtId="165" fontId="56" fillId="7" borderId="1" xfId="0" applyNumberFormat="1" applyFont="1" applyFill="1" applyBorder="1" applyAlignment="1">
      <alignment horizontal="center" vertical="top" wrapText="1"/>
    </xf>
    <xf numFmtId="3" fontId="55" fillId="7" borderId="1" xfId="2" applyNumberFormat="1" applyFont="1" applyFill="1" applyBorder="1" applyAlignment="1">
      <alignment vertical="top" wrapText="1"/>
    </xf>
    <xf numFmtId="0" fontId="55" fillId="7" borderId="1" xfId="0" applyFont="1" applyFill="1" applyBorder="1" applyAlignment="1">
      <alignment horizontal="left" vertical="top" wrapText="1"/>
    </xf>
    <xf numFmtId="0" fontId="55" fillId="7" borderId="1" xfId="0" applyFont="1" applyFill="1" applyBorder="1" applyAlignment="1">
      <alignment vertical="top" wrapText="1"/>
    </xf>
    <xf numFmtId="0" fontId="55" fillId="7" borderId="1" xfId="2" applyFont="1" applyFill="1" applyBorder="1" applyAlignment="1">
      <alignment horizontal="center" vertical="center" wrapText="1"/>
    </xf>
    <xf numFmtId="0" fontId="55" fillId="7" borderId="1" xfId="2" applyFont="1" applyFill="1" applyBorder="1" applyAlignment="1">
      <alignment vertical="top" wrapText="1"/>
    </xf>
    <xf numFmtId="17" fontId="56" fillId="7" borderId="1" xfId="2" applyNumberFormat="1" applyFont="1" applyFill="1" applyBorder="1" applyAlignment="1">
      <alignment vertical="top"/>
    </xf>
    <xf numFmtId="0" fontId="56" fillId="7" borderId="1" xfId="2" applyFont="1" applyFill="1" applyBorder="1" applyAlignment="1">
      <alignment vertical="top" wrapText="1"/>
    </xf>
    <xf numFmtId="0" fontId="56" fillId="7" borderId="1" xfId="0" applyFont="1" applyFill="1" applyBorder="1" applyAlignment="1">
      <alignment vertical="top"/>
    </xf>
    <xf numFmtId="0" fontId="56" fillId="7" borderId="1" xfId="2" applyFont="1" applyFill="1" applyBorder="1" applyAlignment="1">
      <alignment horizontal="center" vertical="center"/>
    </xf>
    <xf numFmtId="0" fontId="9" fillId="7" borderId="1" xfId="0" applyFont="1" applyFill="1" applyBorder="1"/>
    <xf numFmtId="0" fontId="57" fillId="7" borderId="1" xfId="0" applyFont="1" applyFill="1" applyBorder="1" applyAlignment="1">
      <alignment vertical="top"/>
    </xf>
    <xf numFmtId="0" fontId="57" fillId="7" borderId="1" xfId="0" applyFont="1" applyFill="1" applyBorder="1" applyAlignment="1">
      <alignment horizontal="center" vertical="top"/>
    </xf>
    <xf numFmtId="0" fontId="57" fillId="7" borderId="1" xfId="0" applyFont="1" applyFill="1" applyBorder="1" applyAlignment="1">
      <alignment vertical="top" wrapText="1"/>
    </xf>
    <xf numFmtId="0" fontId="57" fillId="7" borderId="1" xfId="0" applyFont="1" applyFill="1" applyBorder="1" applyAlignment="1">
      <alignment horizontal="left" vertical="top" wrapText="1"/>
    </xf>
    <xf numFmtId="0" fontId="57" fillId="7" borderId="1" xfId="0" applyFont="1" applyFill="1" applyBorder="1" applyAlignment="1">
      <alignment horizontal="left" vertical="top"/>
    </xf>
    <xf numFmtId="172" fontId="57" fillId="7" borderId="1" xfId="0" applyNumberFormat="1" applyFont="1" applyFill="1" applyBorder="1" applyAlignment="1">
      <alignment horizontal="right" vertical="top" wrapText="1"/>
    </xf>
    <xf numFmtId="165" fontId="57" fillId="7" borderId="1" xfId="0" applyNumberFormat="1" applyFont="1" applyFill="1" applyBorder="1" applyAlignment="1">
      <alignment horizontal="center" vertical="top" wrapText="1"/>
    </xf>
    <xf numFmtId="165" fontId="57" fillId="7" borderId="1" xfId="0" applyNumberFormat="1" applyFont="1" applyFill="1" applyBorder="1" applyAlignment="1">
      <alignment horizontal="left" vertical="top" wrapText="1"/>
    </xf>
    <xf numFmtId="3" fontId="57" fillId="7" borderId="1" xfId="0" applyNumberFormat="1" applyFont="1" applyFill="1" applyBorder="1" applyAlignment="1">
      <alignment horizontal="center" vertical="top"/>
    </xf>
    <xf numFmtId="3" fontId="57" fillId="7" borderId="1" xfId="0" applyNumberFormat="1" applyFont="1" applyFill="1" applyBorder="1" applyAlignment="1">
      <alignment horizontal="left" vertical="top" wrapText="1"/>
    </xf>
    <xf numFmtId="0" fontId="57" fillId="7" borderId="10" xfId="0" applyFont="1" applyFill="1" applyBorder="1" applyAlignment="1">
      <alignment horizontal="center" vertical="top"/>
    </xf>
    <xf numFmtId="0" fontId="57" fillId="7" borderId="10" xfId="0" applyFont="1" applyFill="1" applyBorder="1" applyAlignment="1">
      <alignment horizontal="left" vertical="top" wrapText="1"/>
    </xf>
    <xf numFmtId="0" fontId="57" fillId="7" borderId="10" xfId="0" applyFont="1" applyFill="1" applyBorder="1" applyAlignment="1">
      <alignment horizontal="left" vertical="top"/>
    </xf>
    <xf numFmtId="172" fontId="57" fillId="7" borderId="10" xfId="0" applyNumberFormat="1" applyFont="1" applyFill="1" applyBorder="1" applyAlignment="1">
      <alignment horizontal="right" vertical="top" wrapText="1"/>
    </xf>
    <xf numFmtId="0" fontId="57" fillId="7" borderId="0" xfId="0" applyFont="1" applyFill="1" applyAlignment="1">
      <alignment vertical="top"/>
    </xf>
    <xf numFmtId="1" fontId="57" fillId="7" borderId="1" xfId="0" applyNumberFormat="1" applyFont="1" applyFill="1" applyBorder="1" applyAlignment="1">
      <alignment horizontal="center" vertical="top"/>
    </xf>
    <xf numFmtId="0" fontId="58" fillId="7" borderId="1" xfId="0" applyFont="1" applyFill="1" applyBorder="1" applyAlignment="1">
      <alignment horizontal="center" vertical="center"/>
    </xf>
    <xf numFmtId="0" fontId="54" fillId="21" borderId="30" xfId="0" applyFont="1" applyFill="1" applyBorder="1" applyAlignment="1">
      <alignment horizontal="center"/>
    </xf>
    <xf numFmtId="0" fontId="54" fillId="21" borderId="2" xfId="0" applyFont="1" applyFill="1" applyBorder="1" applyAlignment="1">
      <alignment horizontal="center"/>
    </xf>
    <xf numFmtId="0" fontId="54" fillId="7" borderId="37" xfId="0" applyFont="1" applyFill="1" applyBorder="1" applyAlignment="1">
      <alignment horizontal="center"/>
    </xf>
    <xf numFmtId="0" fontId="56" fillId="7" borderId="1" xfId="0" applyFont="1" applyFill="1" applyBorder="1" applyAlignment="1">
      <alignment horizontal="center"/>
    </xf>
    <xf numFmtId="0" fontId="56" fillId="7" borderId="1" xfId="0" applyFont="1" applyFill="1" applyBorder="1" applyAlignment="1">
      <alignment horizontal="center" vertical="top"/>
    </xf>
    <xf numFmtId="0" fontId="56" fillId="7" borderId="1" xfId="0" applyFont="1" applyFill="1" applyBorder="1" applyAlignment="1">
      <alignment horizontal="left" vertical="top"/>
    </xf>
    <xf numFmtId="0" fontId="56" fillId="7" borderId="1" xfId="0" applyFont="1" applyFill="1" applyBorder="1" applyAlignment="1">
      <alignment horizontal="left" vertical="top" wrapText="1"/>
    </xf>
    <xf numFmtId="0" fontId="56" fillId="7" borderId="1" xfId="0" quotePrefix="1" applyFont="1" applyFill="1" applyBorder="1" applyAlignment="1">
      <alignment horizontal="right" vertical="top"/>
    </xf>
    <xf numFmtId="0" fontId="56" fillId="7" borderId="1" xfId="0" applyFont="1" applyFill="1" applyBorder="1" applyAlignment="1">
      <alignment horizontal="center" vertical="center"/>
    </xf>
    <xf numFmtId="0" fontId="56" fillId="7" borderId="1" xfId="0" applyFont="1" applyFill="1" applyBorder="1" applyAlignment="1">
      <alignment horizontal="left" vertical="center"/>
    </xf>
    <xf numFmtId="165" fontId="57" fillId="7" borderId="1" xfId="0" applyNumberFormat="1" applyFont="1" applyFill="1" applyBorder="1" applyAlignment="1">
      <alignment horizontal="left" vertical="center" wrapText="1"/>
    </xf>
    <xf numFmtId="0" fontId="9" fillId="7" borderId="1" xfId="0" applyFont="1" applyFill="1" applyBorder="1" applyAlignment="1">
      <alignment horizontal="center" vertical="center"/>
    </xf>
    <xf numFmtId="172" fontId="57" fillId="7" borderId="1" xfId="0" quotePrefix="1" applyNumberFormat="1" applyFont="1" applyFill="1" applyBorder="1" applyAlignment="1">
      <alignment horizontal="right" vertical="top" wrapText="1"/>
    </xf>
    <xf numFmtId="0" fontId="0" fillId="7" borderId="1" xfId="0" applyFill="1" applyBorder="1" applyAlignment="1">
      <alignment horizontal="center"/>
    </xf>
    <xf numFmtId="0" fontId="56" fillId="7" borderId="1" xfId="0" applyFont="1" applyFill="1" applyBorder="1" applyAlignment="1">
      <alignment vertical="center"/>
    </xf>
    <xf numFmtId="0" fontId="55" fillId="7" borderId="30" xfId="0" applyFont="1" applyFill="1" applyBorder="1" applyAlignment="1">
      <alignment vertical="center" wrapText="1"/>
    </xf>
    <xf numFmtId="0" fontId="55" fillId="7" borderId="35" xfId="0" applyFont="1" applyFill="1" applyBorder="1" applyAlignment="1">
      <alignment vertical="center" wrapText="1"/>
    </xf>
    <xf numFmtId="0" fontId="55" fillId="0" borderId="1" xfId="0" applyFont="1" applyFill="1" applyBorder="1" applyAlignment="1">
      <alignment vertical="center" wrapText="1"/>
    </xf>
    <xf numFmtId="49" fontId="56" fillId="7" borderId="1" xfId="0" applyNumberFormat="1" applyFont="1" applyFill="1" applyBorder="1" applyAlignment="1" applyProtection="1">
      <alignment vertical="center" wrapText="1"/>
    </xf>
    <xf numFmtId="0" fontId="55" fillId="0" borderId="1" xfId="2" applyFont="1" applyFill="1" applyBorder="1" applyAlignment="1">
      <alignment horizontal="left" vertical="center" wrapText="1"/>
    </xf>
    <xf numFmtId="49" fontId="56" fillId="7" borderId="1" xfId="0" applyNumberFormat="1" applyFont="1" applyFill="1" applyBorder="1" applyAlignment="1" applyProtection="1">
      <alignment horizontal="center" vertical="center"/>
    </xf>
    <xf numFmtId="49" fontId="56" fillId="7" borderId="1" xfId="0" applyNumberFormat="1" applyFont="1" applyFill="1" applyBorder="1" applyAlignment="1" applyProtection="1">
      <alignment horizontal="left" vertical="center" wrapText="1"/>
    </xf>
    <xf numFmtId="49" fontId="56" fillId="7" borderId="1" xfId="0" applyNumberFormat="1" applyFont="1" applyFill="1" applyBorder="1" applyAlignment="1" applyProtection="1">
      <alignment horizontal="left" vertical="center"/>
    </xf>
    <xf numFmtId="0" fontId="56" fillId="7" borderId="30" xfId="0" applyFont="1" applyFill="1" applyBorder="1" applyAlignment="1">
      <alignment horizontal="left" vertical="center" wrapText="1"/>
    </xf>
    <xf numFmtId="16" fontId="55" fillId="7" borderId="1" xfId="0" quotePrefix="1" applyNumberFormat="1" applyFont="1" applyFill="1" applyBorder="1" applyAlignment="1">
      <alignment horizontal="right" vertical="center" wrapText="1"/>
    </xf>
    <xf numFmtId="0" fontId="5" fillId="0" borderId="0" xfId="0" applyFont="1" applyBorder="1"/>
    <xf numFmtId="0" fontId="5" fillId="0" borderId="0" xfId="0" applyFont="1" applyBorder="1" applyAlignment="1">
      <alignment vertical="center"/>
    </xf>
    <xf numFmtId="0" fontId="6" fillId="0" borderId="0" xfId="0" applyFont="1" applyFill="1" applyBorder="1"/>
    <xf numFmtId="0" fontId="5" fillId="0" borderId="0" xfId="0" applyFont="1" applyFill="1" applyBorder="1"/>
    <xf numFmtId="3" fontId="5" fillId="0" borderId="1" xfId="0" applyNumberFormat="1" applyFont="1" applyBorder="1" applyAlignment="1">
      <alignment horizontal="right" vertical="center" wrapText="1"/>
    </xf>
    <xf numFmtId="3" fontId="6" fillId="2" borderId="1" xfId="0" applyNumberFormat="1" applyFont="1" applyFill="1" applyBorder="1" applyAlignment="1">
      <alignment horizontal="right" vertical="center" wrapText="1"/>
    </xf>
    <xf numFmtId="164" fontId="5" fillId="0" borderId="1"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3" fontId="5" fillId="0" borderId="3" xfId="0" applyNumberFormat="1" applyFont="1" applyBorder="1" applyAlignment="1">
      <alignment horizontal="right" vertical="center" wrapText="1"/>
    </xf>
    <xf numFmtId="164" fontId="5" fillId="0" borderId="3"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3" fontId="5" fillId="0" borderId="11" xfId="0" applyNumberFormat="1" applyFont="1" applyBorder="1" applyAlignment="1">
      <alignment horizontal="right" vertical="center" wrapText="1"/>
    </xf>
    <xf numFmtId="164" fontId="5" fillId="0" borderId="9" xfId="0" applyNumberFormat="1" applyFont="1" applyBorder="1" applyAlignment="1">
      <alignment horizontal="right" vertical="center" wrapText="1"/>
    </xf>
    <xf numFmtId="164" fontId="5" fillId="0" borderId="10" xfId="0" applyNumberFormat="1" applyFont="1" applyBorder="1" applyAlignment="1">
      <alignment horizontal="right" vertical="center" wrapText="1"/>
    </xf>
    <xf numFmtId="164" fontId="5" fillId="0" borderId="33" xfId="0" applyNumberFormat="1" applyFont="1" applyBorder="1" applyAlignment="1">
      <alignment horizontal="right" vertical="center" wrapText="1"/>
    </xf>
    <xf numFmtId="0" fontId="60" fillId="0" borderId="3" xfId="0" applyFont="1" applyBorder="1" applyAlignment="1">
      <alignment horizontal="center" vertical="center" wrapText="1"/>
    </xf>
    <xf numFmtId="164" fontId="5" fillId="0" borderId="10" xfId="0" applyNumberFormat="1" applyFont="1" applyFill="1" applyBorder="1" applyAlignment="1">
      <alignment horizontal="right" vertical="center" wrapText="1"/>
    </xf>
    <xf numFmtId="164" fontId="5" fillId="0" borderId="11" xfId="0" applyNumberFormat="1" applyFont="1" applyBorder="1" applyAlignment="1">
      <alignment horizontal="right" vertical="center" wrapText="1"/>
    </xf>
    <xf numFmtId="164" fontId="5" fillId="0" borderId="1"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164" fontId="5" fillId="0" borderId="2" xfId="0" applyNumberFormat="1" applyFont="1" applyFill="1" applyBorder="1" applyAlignment="1">
      <alignment horizontal="right" vertical="center" wrapText="1"/>
    </xf>
    <xf numFmtId="0" fontId="6" fillId="0" borderId="0" xfId="0" applyFont="1" applyBorder="1"/>
    <xf numFmtId="3" fontId="5" fillId="0" borderId="3" xfId="0" applyNumberFormat="1" applyFont="1" applyFill="1" applyBorder="1" applyAlignment="1">
      <alignment horizontal="right" vertical="center" wrapText="1"/>
    </xf>
    <xf numFmtId="164" fontId="5" fillId="0" borderId="3" xfId="0" applyNumberFormat="1" applyFont="1" applyFill="1" applyBorder="1" applyAlignment="1">
      <alignment horizontal="right" vertical="center" wrapText="1"/>
    </xf>
    <xf numFmtId="174" fontId="5" fillId="0" borderId="1" xfId="0" applyNumberFormat="1" applyFont="1" applyBorder="1" applyAlignment="1">
      <alignment vertical="center"/>
    </xf>
    <xf numFmtId="174" fontId="5" fillId="0" borderId="10" xfId="0" applyNumberFormat="1" applyFont="1" applyBorder="1" applyAlignment="1">
      <alignment vertical="center"/>
    </xf>
    <xf numFmtId="44" fontId="5" fillId="0" borderId="3" xfId="0" applyNumberFormat="1" applyFont="1" applyBorder="1" applyAlignment="1">
      <alignment wrapText="1"/>
    </xf>
    <xf numFmtId="44" fontId="5" fillId="0" borderId="3" xfId="0" applyNumberFormat="1" applyFont="1" applyFill="1" applyBorder="1" applyAlignment="1">
      <alignment wrapText="1"/>
    </xf>
    <xf numFmtId="0" fontId="5" fillId="0" borderId="72" xfId="0" applyFont="1" applyBorder="1" applyAlignment="1">
      <alignment wrapText="1"/>
    </xf>
    <xf numFmtId="44" fontId="5" fillId="0" borderId="3" xfId="0" applyNumberFormat="1" applyFont="1" applyFill="1" applyBorder="1" applyAlignment="1">
      <alignment vertical="center" wrapText="1"/>
    </xf>
    <xf numFmtId="0" fontId="61" fillId="0" borderId="3" xfId="0" applyFont="1" applyBorder="1" applyAlignment="1">
      <alignment vertical="top" wrapText="1"/>
    </xf>
    <xf numFmtId="44" fontId="61" fillId="0" borderId="3" xfId="0" applyNumberFormat="1" applyFont="1" applyBorder="1" applyAlignment="1">
      <alignment vertical="top" wrapText="1"/>
    </xf>
    <xf numFmtId="164" fontId="11" fillId="0" borderId="33" xfId="0" applyNumberFormat="1" applyFont="1" applyBorder="1" applyAlignment="1">
      <alignment horizontal="center" vertical="center" wrapText="1"/>
    </xf>
    <xf numFmtId="0" fontId="59" fillId="0" borderId="3" xfId="1" applyFont="1" applyBorder="1" applyAlignment="1" applyProtection="1">
      <alignment horizontal="center" vertical="center" wrapText="1"/>
    </xf>
    <xf numFmtId="164" fontId="11" fillId="0" borderId="71" xfId="0" applyNumberFormat="1" applyFont="1" applyBorder="1" applyAlignment="1">
      <alignment horizontal="center" vertical="center" wrapText="1"/>
    </xf>
    <xf numFmtId="164" fontId="11" fillId="19" borderId="33" xfId="0" applyNumberFormat="1" applyFont="1" applyFill="1" applyBorder="1" applyAlignment="1">
      <alignment horizontal="center" vertical="center" wrapText="1"/>
    </xf>
    <xf numFmtId="0" fontId="62" fillId="0" borderId="3" xfId="0" applyFont="1" applyBorder="1" applyAlignment="1">
      <alignment horizontal="center" vertical="center" wrapText="1"/>
    </xf>
    <xf numFmtId="164" fontId="11" fillId="0" borderId="33" xfId="0" applyNumberFormat="1" applyFont="1" applyFill="1" applyBorder="1" applyAlignment="1">
      <alignment horizontal="center" vertical="center" wrapText="1"/>
    </xf>
    <xf numFmtId="0" fontId="62" fillId="0" borderId="3"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17" fillId="0" borderId="72" xfId="1" applyFont="1" applyBorder="1" applyAlignment="1" applyProtection="1">
      <alignment horizontal="center" vertical="center" wrapText="1"/>
    </xf>
    <xf numFmtId="0" fontId="17" fillId="0" borderId="11" xfId="1" applyFont="1" applyBorder="1" applyAlignment="1" applyProtection="1">
      <alignment horizontal="center" vertical="center" wrapText="1"/>
    </xf>
    <xf numFmtId="0" fontId="17" fillId="0" borderId="3" xfId="1" applyFont="1" applyBorder="1" applyAlignment="1" applyProtection="1">
      <alignment horizontal="center" vertical="center" wrapText="1"/>
    </xf>
    <xf numFmtId="0" fontId="61" fillId="0" borderId="1" xfId="0" applyFont="1" applyFill="1" applyBorder="1" applyAlignment="1">
      <alignment vertical="top"/>
    </xf>
    <xf numFmtId="44" fontId="61" fillId="0" borderId="1" xfId="0" applyNumberFormat="1" applyFont="1" applyFill="1" applyBorder="1" applyAlignment="1">
      <alignment vertical="top" wrapText="1"/>
    </xf>
    <xf numFmtId="0" fontId="11" fillId="0" borderId="37" xfId="0" applyFont="1" applyBorder="1" applyAlignment="1">
      <alignment horizontal="right" wrapText="1"/>
    </xf>
    <xf numFmtId="0" fontId="11" fillId="0" borderId="37" xfId="0" applyFont="1" applyFill="1" applyBorder="1" applyAlignment="1">
      <alignment horizontal="right" wrapText="1"/>
    </xf>
    <xf numFmtId="0" fontId="6" fillId="2" borderId="21"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wrapText="1"/>
    </xf>
    <xf numFmtId="17" fontId="5" fillId="0" borderId="1" xfId="0" applyNumberFormat="1" applyFont="1" applyBorder="1" applyAlignment="1">
      <alignment horizontal="right" vertical="center" wrapText="1"/>
    </xf>
    <xf numFmtId="17" fontId="5" fillId="0" borderId="1" xfId="0" applyNumberFormat="1" applyFont="1" applyBorder="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horizontal="right" wrapText="1"/>
    </xf>
    <xf numFmtId="0" fontId="5" fillId="0" borderId="1" xfId="0" applyFont="1" applyFill="1" applyBorder="1" applyAlignment="1">
      <alignment horizontal="right" wrapText="1"/>
    </xf>
    <xf numFmtId="44" fontId="5" fillId="0" borderId="10" xfId="0" applyNumberFormat="1" applyFont="1" applyFill="1" applyBorder="1" applyAlignment="1">
      <alignment vertical="top" wrapText="1"/>
    </xf>
    <xf numFmtId="0" fontId="5" fillId="0" borderId="10" xfId="0" applyFont="1" applyFill="1" applyBorder="1" applyAlignment="1">
      <alignment vertical="center" wrapText="1"/>
    </xf>
    <xf numFmtId="0" fontId="5" fillId="0" borderId="11" xfId="0" applyFont="1" applyBorder="1" applyAlignment="1">
      <alignment vertical="center" wrapText="1"/>
    </xf>
    <xf numFmtId="0" fontId="5" fillId="0" borderId="1" xfId="0" applyFont="1" applyFill="1" applyBorder="1" applyAlignment="1">
      <alignment vertical="center" wrapText="1"/>
    </xf>
    <xf numFmtId="0" fontId="5" fillId="0" borderId="3" xfId="0" applyFont="1" applyBorder="1" applyAlignment="1">
      <alignment vertical="center" wrapText="1"/>
    </xf>
    <xf numFmtId="0" fontId="5" fillId="0" borderId="1" xfId="0" applyNumberFormat="1" applyFont="1" applyFill="1" applyBorder="1" applyAlignment="1">
      <alignment vertical="center"/>
    </xf>
    <xf numFmtId="44" fontId="5" fillId="0" borderId="3" xfId="0" applyNumberFormat="1" applyFont="1" applyBorder="1" applyAlignment="1">
      <alignment vertical="top" wrapText="1"/>
    </xf>
    <xf numFmtId="0" fontId="63" fillId="0" borderId="0" xfId="0" applyFont="1" applyFill="1" applyBorder="1"/>
    <xf numFmtId="44" fontId="63" fillId="0" borderId="10" xfId="0" applyNumberFormat="1" applyFont="1" applyFill="1" applyBorder="1" applyAlignment="1">
      <alignment vertical="top" wrapText="1"/>
    </xf>
    <xf numFmtId="44" fontId="63" fillId="0" borderId="3" xfId="0" applyNumberFormat="1" applyFont="1" applyBorder="1" applyAlignment="1">
      <alignment vertical="top" wrapText="1"/>
    </xf>
    <xf numFmtId="0" fontId="63" fillId="0" borderId="1" xfId="0" applyFont="1" applyBorder="1" applyAlignment="1">
      <alignment horizontal="right" wrapText="1"/>
    </xf>
    <xf numFmtId="3" fontId="63" fillId="0" borderId="1" xfId="0" applyNumberFormat="1" applyFont="1" applyFill="1" applyBorder="1" applyAlignment="1">
      <alignment horizontal="right" vertical="center" wrapText="1"/>
    </xf>
    <xf numFmtId="3" fontId="63" fillId="0" borderId="3" xfId="0" applyNumberFormat="1" applyFont="1" applyFill="1" applyBorder="1" applyAlignment="1">
      <alignment horizontal="right" vertical="center" wrapText="1"/>
    </xf>
    <xf numFmtId="164" fontId="63" fillId="0" borderId="2" xfId="0" applyNumberFormat="1" applyFont="1" applyFill="1" applyBorder="1" applyAlignment="1">
      <alignment horizontal="right" vertical="center" wrapText="1"/>
    </xf>
    <xf numFmtId="164" fontId="63" fillId="0" borderId="1" xfId="0" applyNumberFormat="1" applyFont="1" applyFill="1" applyBorder="1" applyAlignment="1">
      <alignment horizontal="right" vertical="center" wrapText="1"/>
    </xf>
    <xf numFmtId="164" fontId="63" fillId="0" borderId="3" xfId="0" applyNumberFormat="1" applyFont="1" applyFill="1" applyBorder="1" applyAlignment="1">
      <alignment horizontal="right" vertical="center" wrapText="1"/>
    </xf>
    <xf numFmtId="164" fontId="64" fillId="19" borderId="33" xfId="0" applyNumberFormat="1" applyFont="1" applyFill="1" applyBorder="1" applyAlignment="1">
      <alignment horizontal="center" vertical="center" wrapText="1"/>
    </xf>
    <xf numFmtId="0" fontId="65" fillId="0" borderId="3" xfId="0" applyFont="1" applyFill="1" applyBorder="1" applyAlignment="1">
      <alignment horizontal="center" vertical="center" wrapText="1"/>
    </xf>
    <xf numFmtId="17" fontId="5" fillId="0" borderId="1" xfId="0" applyNumberFormat="1" applyFont="1" applyBorder="1" applyAlignment="1">
      <alignment horizontal="right" wrapText="1"/>
    </xf>
    <xf numFmtId="0" fontId="66" fillId="0" borderId="37" xfId="0" applyFont="1" applyBorder="1" applyAlignment="1">
      <alignment horizontal="left" wrapText="1"/>
    </xf>
    <xf numFmtId="0" fontId="5" fillId="0" borderId="1" xfId="0" applyFont="1" applyBorder="1" applyAlignment="1">
      <alignment horizontal="left" wrapText="1"/>
    </xf>
    <xf numFmtId="0" fontId="5" fillId="0" borderId="1" xfId="0" applyFont="1" applyFill="1" applyBorder="1" applyAlignment="1">
      <alignment vertical="top"/>
    </xf>
    <xf numFmtId="3" fontId="6" fillId="0" borderId="1" xfId="0" applyNumberFormat="1" applyFont="1" applyFill="1" applyBorder="1" applyAlignment="1">
      <alignment horizontal="right" vertical="center" wrapText="1"/>
    </xf>
    <xf numFmtId="0" fontId="6" fillId="0" borderId="10" xfId="0" applyFont="1" applyFill="1" applyBorder="1" applyAlignment="1">
      <alignment vertical="center" wrapText="1"/>
    </xf>
    <xf numFmtId="164" fontId="6" fillId="0" borderId="2" xfId="0" applyNumberFormat="1" applyFont="1" applyFill="1" applyBorder="1" applyAlignment="1">
      <alignment horizontal="right" vertical="center" wrapText="1"/>
    </xf>
    <xf numFmtId="164" fontId="6" fillId="0" borderId="1" xfId="0" applyNumberFormat="1" applyFont="1" applyFill="1" applyBorder="1" applyAlignment="1">
      <alignment horizontal="right" vertical="center" wrapText="1"/>
    </xf>
    <xf numFmtId="0" fontId="6" fillId="0" borderId="1" xfId="0" applyFont="1" applyFill="1" applyBorder="1" applyAlignment="1">
      <alignment vertical="center" wrapText="1"/>
    </xf>
    <xf numFmtId="164" fontId="13" fillId="0" borderId="33" xfId="0" applyNumberFormat="1" applyFont="1" applyFill="1" applyBorder="1" applyAlignment="1">
      <alignment horizontal="center" vertical="center" wrapText="1"/>
    </xf>
    <xf numFmtId="0" fontId="5" fillId="0" borderId="1" xfId="0" applyFont="1" applyFill="1" applyBorder="1" applyAlignment="1">
      <alignment horizontal="left" wrapText="1"/>
    </xf>
    <xf numFmtId="0" fontId="5" fillId="0" borderId="3" xfId="0" applyFont="1" applyFill="1" applyBorder="1" applyAlignment="1">
      <alignment vertical="center" wrapText="1"/>
    </xf>
    <xf numFmtId="0" fontId="5" fillId="0" borderId="56" xfId="0" applyFont="1" applyBorder="1" applyAlignment="1">
      <alignment vertical="top" wrapText="1"/>
    </xf>
    <xf numFmtId="0" fontId="5" fillId="0" borderId="54" xfId="0" applyFont="1" applyBorder="1" applyAlignment="1">
      <alignment vertical="top" wrapText="1"/>
    </xf>
    <xf numFmtId="0" fontId="6" fillId="0" borderId="3" xfId="0" applyFont="1" applyFill="1" applyBorder="1" applyAlignment="1">
      <alignment vertical="center" wrapText="1"/>
    </xf>
    <xf numFmtId="0" fontId="6" fillId="0" borderId="1" xfId="0" applyFont="1" applyFill="1" applyBorder="1" applyAlignment="1">
      <alignment horizontal="left" wrapText="1"/>
    </xf>
    <xf numFmtId="0" fontId="6" fillId="0" borderId="1" xfId="0" applyFont="1" applyFill="1" applyBorder="1" applyAlignment="1">
      <alignment horizontal="right" wrapText="1"/>
    </xf>
    <xf numFmtId="17" fontId="5" fillId="0" borderId="1" xfId="0" applyNumberFormat="1" applyFont="1" applyFill="1" applyBorder="1" applyAlignment="1">
      <alignment horizontal="right" vertical="center" wrapText="1"/>
    </xf>
    <xf numFmtId="0" fontId="5" fillId="0" borderId="0" xfId="0" applyFont="1" applyFill="1" applyBorder="1" applyAlignment="1">
      <alignment vertical="center"/>
    </xf>
    <xf numFmtId="0" fontId="6" fillId="0" borderId="0" xfId="0" applyFont="1" applyFill="1" applyBorder="1" applyAlignment="1">
      <alignment vertical="center"/>
    </xf>
    <xf numFmtId="0" fontId="67" fillId="0" borderId="3" xfId="0" applyFont="1" applyFill="1" applyBorder="1" applyAlignment="1">
      <alignment horizontal="center" vertical="center" wrapText="1"/>
    </xf>
    <xf numFmtId="17" fontId="5" fillId="0" borderId="1" xfId="0" applyNumberFormat="1" applyFont="1" applyFill="1" applyBorder="1" applyAlignment="1">
      <alignment horizontal="left" vertical="center" wrapText="1"/>
    </xf>
    <xf numFmtId="17" fontId="5" fillId="0" borderId="1" xfId="0" applyNumberFormat="1" applyFont="1" applyFill="1" applyBorder="1" applyAlignment="1">
      <alignment horizontal="right" wrapText="1"/>
    </xf>
    <xf numFmtId="17" fontId="6" fillId="0" borderId="1" xfId="0" applyNumberFormat="1" applyFont="1" applyFill="1" applyBorder="1" applyAlignment="1">
      <alignment horizontal="left" vertical="center" wrapText="1"/>
    </xf>
    <xf numFmtId="17" fontId="6" fillId="0" borderId="1" xfId="0" applyNumberFormat="1" applyFont="1" applyFill="1" applyBorder="1" applyAlignment="1">
      <alignment horizontal="right" vertical="center" wrapText="1"/>
    </xf>
    <xf numFmtId="0" fontId="5" fillId="0" borderId="3" xfId="0" applyFont="1" applyFill="1" applyBorder="1" applyAlignment="1">
      <alignment vertical="top" wrapText="1"/>
    </xf>
    <xf numFmtId="0" fontId="6" fillId="0" borderId="11" xfId="0" applyFont="1" applyFill="1" applyBorder="1" applyAlignment="1">
      <alignment vertical="center" wrapText="1"/>
    </xf>
    <xf numFmtId="0" fontId="6" fillId="0" borderId="3" xfId="0" applyFont="1" applyFill="1" applyBorder="1" applyAlignment="1">
      <alignment vertical="top" wrapText="1"/>
    </xf>
    <xf numFmtId="3" fontId="6" fillId="0" borderId="3" xfId="0" applyNumberFormat="1" applyFont="1" applyFill="1" applyBorder="1" applyAlignment="1">
      <alignment horizontal="right" vertical="center" wrapText="1"/>
    </xf>
    <xf numFmtId="164" fontId="6" fillId="0" borderId="3" xfId="0" applyNumberFormat="1" applyFont="1" applyFill="1" applyBorder="1" applyAlignment="1">
      <alignment horizontal="right" vertical="center" wrapText="1"/>
    </xf>
    <xf numFmtId="0" fontId="6" fillId="0" borderId="1" xfId="0" applyFont="1" applyFill="1" applyBorder="1" applyAlignment="1">
      <alignment vertical="top" wrapText="1"/>
    </xf>
    <xf numFmtId="0" fontId="6" fillId="0" borderId="56" xfId="0" applyFont="1" applyFill="1" applyBorder="1" applyAlignment="1">
      <alignment vertical="top" wrapText="1"/>
    </xf>
    <xf numFmtId="0" fontId="5" fillId="0" borderId="56" xfId="0" applyFont="1" applyFill="1" applyBorder="1" applyAlignment="1">
      <alignment vertical="top" wrapText="1"/>
    </xf>
    <xf numFmtId="0" fontId="6" fillId="0" borderId="1" xfId="0" applyFont="1" applyFill="1" applyBorder="1" applyAlignment="1">
      <alignment horizontal="right" vertical="center" wrapText="1"/>
    </xf>
    <xf numFmtId="0" fontId="14" fillId="0" borderId="11" xfId="0" applyFont="1" applyBorder="1" applyAlignment="1" applyProtection="1">
      <alignment horizontal="center" wrapText="1"/>
    </xf>
    <xf numFmtId="14" fontId="9" fillId="15" borderId="1" xfId="2" applyNumberFormat="1" applyFont="1" applyFill="1" applyBorder="1" applyAlignment="1" applyProtection="1">
      <alignment horizontal="center" wrapText="1"/>
      <protection locked="0"/>
    </xf>
    <xf numFmtId="0" fontId="9" fillId="15" borderId="1" xfId="2" applyFont="1" applyFill="1" applyBorder="1" applyAlignment="1" applyProtection="1">
      <alignment horizontal="center" wrapText="1"/>
      <protection locked="0"/>
    </xf>
    <xf numFmtId="0" fontId="14" fillId="21" borderId="33" xfId="2" applyFont="1" applyFill="1" applyBorder="1" applyAlignment="1">
      <alignment vertical="top" wrapText="1"/>
    </xf>
    <xf numFmtId="0" fontId="14" fillId="21" borderId="1" xfId="2" applyFont="1" applyFill="1" applyBorder="1" applyAlignment="1">
      <alignment horizontal="center" vertical="top" wrapText="1"/>
    </xf>
    <xf numFmtId="173" fontId="14" fillId="21" borderId="1" xfId="2" applyNumberFormat="1" applyFont="1" applyFill="1" applyBorder="1" applyAlignment="1">
      <alignment horizontal="center" vertical="top" wrapText="1"/>
    </xf>
    <xf numFmtId="0" fontId="14" fillId="21" borderId="33" xfId="2" applyFont="1" applyFill="1" applyBorder="1" applyAlignment="1">
      <alignment vertical="top"/>
    </xf>
    <xf numFmtId="0" fontId="14" fillId="21" borderId="1" xfId="2" applyFont="1" applyFill="1" applyBorder="1" applyAlignment="1">
      <alignment horizontal="center" vertical="top"/>
    </xf>
    <xf numFmtId="173" fontId="14" fillId="21" borderId="1" xfId="2" applyNumberFormat="1" applyFont="1" applyFill="1" applyBorder="1" applyAlignment="1">
      <alignment horizontal="center" vertical="top"/>
    </xf>
    <xf numFmtId="0" fontId="9" fillId="15" borderId="52" xfId="2" applyFont="1" applyFill="1" applyBorder="1" applyAlignment="1" applyProtection="1">
      <alignment wrapText="1"/>
      <protection locked="0"/>
    </xf>
    <xf numFmtId="0" fontId="17" fillId="0" borderId="22" xfId="0" applyFont="1" applyBorder="1" applyAlignment="1" applyProtection="1">
      <alignment wrapText="1"/>
      <protection locked="0"/>
    </xf>
    <xf numFmtId="0" fontId="9" fillId="0" borderId="0" xfId="0" applyFont="1" applyProtection="1">
      <protection locked="0"/>
    </xf>
    <xf numFmtId="0" fontId="0" fillId="0" borderId="0" xfId="0" applyProtection="1">
      <protection locked="0"/>
    </xf>
    <xf numFmtId="14" fontId="0" fillId="15" borderId="35" xfId="0" applyNumberFormat="1" applyFill="1" applyBorder="1" applyProtection="1">
      <protection locked="0"/>
    </xf>
    <xf numFmtId="0" fontId="9" fillId="0" borderId="45" xfId="0" applyFont="1" applyBorder="1" applyProtection="1"/>
    <xf numFmtId="14" fontId="9" fillId="15" borderId="1" xfId="0" applyNumberFormat="1" applyFont="1" applyFill="1" applyBorder="1" applyAlignment="1" applyProtection="1">
      <alignment horizontal="right" wrapText="1"/>
      <protection locked="0"/>
    </xf>
    <xf numFmtId="0" fontId="9" fillId="15" borderId="1" xfId="0" applyFont="1" applyFill="1" applyBorder="1" applyAlignment="1" applyProtection="1">
      <alignment horizontal="right" wrapText="1"/>
      <protection locked="0"/>
    </xf>
    <xf numFmtId="9" fontId="5" fillId="0" borderId="45" xfId="39" applyFont="1" applyBorder="1" applyProtection="1"/>
    <xf numFmtId="0" fontId="9" fillId="5" borderId="0" xfId="0" applyFont="1" applyFill="1" applyBorder="1" applyAlignment="1" applyProtection="1">
      <alignment horizontal="left" vertical="top" wrapText="1"/>
    </xf>
    <xf numFmtId="0" fontId="9" fillId="5" borderId="45" xfId="0" applyFont="1" applyFill="1" applyBorder="1" applyAlignment="1" applyProtection="1">
      <alignment horizontal="left" vertical="top" wrapText="1"/>
    </xf>
    <xf numFmtId="0" fontId="9"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xf>
    <xf numFmtId="0" fontId="9" fillId="5" borderId="0" xfId="0" applyFont="1" applyFill="1" applyBorder="1" applyAlignment="1" applyProtection="1">
      <alignment horizontal="left" vertical="center" wrapText="1"/>
    </xf>
    <xf numFmtId="0" fontId="0" fillId="5" borderId="0" xfId="0"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9" fillId="0" borderId="0" xfId="0" applyFont="1" applyBorder="1" applyAlignment="1" applyProtection="1">
      <alignment horizontal="left" wrapText="1"/>
    </xf>
    <xf numFmtId="0" fontId="9" fillId="21" borderId="0" xfId="0" applyFont="1" applyFill="1" applyBorder="1" applyAlignment="1" applyProtection="1">
      <alignment horizontal="left" vertical="center" wrapText="1"/>
    </xf>
    <xf numFmtId="0" fontId="0" fillId="21" borderId="0" xfId="0" applyFill="1" applyBorder="1" applyAlignment="1" applyProtection="1">
      <alignment horizontal="left" vertical="center" wrapText="1"/>
    </xf>
    <xf numFmtId="0" fontId="9" fillId="15" borderId="0" xfId="0" applyFont="1" applyFill="1" applyBorder="1" applyAlignment="1" applyProtection="1">
      <alignment horizontal="left" vertical="center" wrapText="1"/>
    </xf>
    <xf numFmtId="0" fontId="9" fillId="0" borderId="0" xfId="0" applyFont="1" applyAlignment="1" applyProtection="1">
      <alignment vertical="top" wrapText="1"/>
      <protection locked="0"/>
    </xf>
    <xf numFmtId="0" fontId="0" fillId="0" borderId="0" xfId="0" applyAlignment="1" applyProtection="1">
      <alignment vertical="top" wrapText="1"/>
      <protection locked="0"/>
    </xf>
    <xf numFmtId="0" fontId="50" fillId="2" borderId="53" xfId="1" applyFont="1" applyFill="1" applyBorder="1" applyAlignment="1" applyProtection="1">
      <alignment horizontal="center" vertical="center" wrapText="1"/>
    </xf>
    <xf numFmtId="0" fontId="50" fillId="2" borderId="35" xfId="1" applyFont="1" applyFill="1" applyBorder="1" applyAlignment="1" applyProtection="1">
      <alignment horizontal="center" vertical="center" wrapText="1"/>
    </xf>
    <xf numFmtId="0" fontId="50" fillId="2" borderId="19" xfId="1" applyFont="1" applyFill="1" applyBorder="1" applyAlignment="1" applyProtection="1">
      <alignment horizontal="center" vertical="center" wrapText="1"/>
    </xf>
    <xf numFmtId="0" fontId="9" fillId="5" borderId="0" xfId="0" applyFont="1" applyFill="1" applyBorder="1" applyAlignment="1" applyProtection="1">
      <alignment horizontal="left" vertical="center"/>
    </xf>
    <xf numFmtId="0" fontId="6" fillId="2" borderId="41" xfId="0" applyFont="1" applyFill="1" applyBorder="1" applyAlignment="1" applyProtection="1">
      <alignment horizontal="center" wrapText="1"/>
    </xf>
    <xf numFmtId="0" fontId="6" fillId="2" borderId="15" xfId="0" applyFont="1" applyFill="1" applyBorder="1" applyAlignment="1" applyProtection="1">
      <alignment horizontal="center" wrapText="1"/>
    </xf>
    <xf numFmtId="0" fontId="6" fillId="2" borderId="21" xfId="0" applyFont="1" applyFill="1" applyBorder="1" applyAlignment="1" applyProtection="1">
      <alignment horizontal="center" wrapText="1"/>
    </xf>
    <xf numFmtId="0" fontId="14" fillId="7" borderId="0" xfId="0" applyFont="1" applyFill="1" applyBorder="1" applyAlignment="1" applyProtection="1">
      <alignment horizontal="left"/>
    </xf>
    <xf numFmtId="0" fontId="0" fillId="7" borderId="0" xfId="0" applyFill="1" applyBorder="1" applyProtection="1"/>
    <xf numFmtId="0" fontId="14" fillId="15" borderId="39" xfId="0" applyFont="1" applyFill="1" applyBorder="1" applyAlignment="1" applyProtection="1">
      <alignment horizontal="left" vertical="top" wrapText="1"/>
    </xf>
    <xf numFmtId="0" fontId="14" fillId="15" borderId="40" xfId="0" applyFont="1" applyFill="1" applyBorder="1" applyAlignment="1" applyProtection="1">
      <alignment horizontal="left" vertical="top" wrapText="1"/>
    </xf>
    <xf numFmtId="0" fontId="14" fillId="15" borderId="17" xfId="0" applyFont="1" applyFill="1" applyBorder="1" applyAlignment="1" applyProtection="1">
      <alignment horizontal="left" vertical="top" wrapText="1"/>
    </xf>
    <xf numFmtId="0" fontId="47" fillId="2" borderId="41" xfId="0" applyFont="1" applyFill="1" applyBorder="1" applyAlignment="1" applyProtection="1">
      <alignment horizontal="center" wrapText="1"/>
    </xf>
    <xf numFmtId="0" fontId="47" fillId="2" borderId="15" xfId="0" applyFont="1" applyFill="1" applyBorder="1" applyAlignment="1" applyProtection="1">
      <alignment horizontal="center" wrapText="1"/>
    </xf>
    <xf numFmtId="0" fontId="47" fillId="2" borderId="21" xfId="0" applyFont="1" applyFill="1" applyBorder="1" applyAlignment="1" applyProtection="1">
      <alignment horizontal="center" wrapText="1"/>
    </xf>
    <xf numFmtId="0" fontId="14" fillId="15" borderId="41" xfId="0" applyFont="1" applyFill="1" applyBorder="1" applyAlignment="1" applyProtection="1">
      <alignment horizontal="left" vertical="top" wrapText="1"/>
      <protection locked="0"/>
    </xf>
    <xf numFmtId="0" fontId="14" fillId="15" borderId="15" xfId="0" applyFont="1" applyFill="1" applyBorder="1" applyAlignment="1" applyProtection="1">
      <alignment horizontal="left" vertical="top" wrapText="1"/>
      <protection locked="0"/>
    </xf>
    <xf numFmtId="0" fontId="14" fillId="15" borderId="21" xfId="0" applyFont="1" applyFill="1" applyBorder="1" applyAlignment="1" applyProtection="1">
      <alignment horizontal="left" vertical="top" wrapText="1"/>
      <protection locked="0"/>
    </xf>
    <xf numFmtId="0" fontId="14" fillId="15" borderId="42" xfId="0" applyFont="1" applyFill="1" applyBorder="1" applyAlignment="1" applyProtection="1">
      <alignment horizontal="left" vertical="top" wrapText="1"/>
      <protection locked="0"/>
    </xf>
    <xf numFmtId="0" fontId="14" fillId="15" borderId="0" xfId="0" applyFont="1" applyFill="1" applyBorder="1" applyAlignment="1" applyProtection="1">
      <alignment horizontal="left" vertical="top" wrapText="1"/>
      <protection locked="0"/>
    </xf>
    <xf numFmtId="0" fontId="14" fillId="15" borderId="43" xfId="0" applyFont="1" applyFill="1" applyBorder="1" applyAlignment="1" applyProtection="1">
      <alignment horizontal="left" vertical="top" wrapText="1"/>
      <protection locked="0"/>
    </xf>
    <xf numFmtId="0" fontId="14" fillId="15" borderId="44" xfId="0" applyFont="1" applyFill="1" applyBorder="1" applyAlignment="1" applyProtection="1">
      <alignment horizontal="left" vertical="top" wrapText="1"/>
      <protection locked="0"/>
    </xf>
    <xf numFmtId="0" fontId="14" fillId="15" borderId="45" xfId="0" applyFont="1" applyFill="1" applyBorder="1" applyAlignment="1" applyProtection="1">
      <alignment horizontal="left" vertical="top" wrapText="1"/>
      <protection locked="0"/>
    </xf>
    <xf numFmtId="0" fontId="14" fillId="15" borderId="46" xfId="0" applyFont="1" applyFill="1" applyBorder="1" applyAlignment="1" applyProtection="1">
      <alignment horizontal="left" vertical="top" wrapText="1"/>
      <protection locked="0"/>
    </xf>
    <xf numFmtId="0" fontId="8" fillId="18" borderId="0" xfId="1" applyFill="1" applyBorder="1" applyAlignment="1" applyProtection="1">
      <alignment horizontal="left" vertical="center" wrapText="1" indent="1"/>
    </xf>
    <xf numFmtId="0" fontId="9" fillId="0" borderId="0" xfId="0" applyNumberFormat="1" applyFont="1" applyBorder="1" applyAlignment="1" applyProtection="1">
      <alignment horizontal="left" vertical="center" wrapText="1" indent="1"/>
    </xf>
    <xf numFmtId="0" fontId="9" fillId="0" borderId="0" xfId="0" applyFont="1" applyBorder="1" applyAlignment="1" applyProtection="1">
      <alignment horizontal="left" vertical="center" wrapText="1" indent="1"/>
    </xf>
    <xf numFmtId="0" fontId="42" fillId="7" borderId="0" xfId="0" applyFont="1" applyFill="1" applyBorder="1" applyAlignment="1" applyProtection="1">
      <alignment horizontal="left" vertical="center" wrapText="1" indent="1"/>
    </xf>
    <xf numFmtId="0" fontId="9" fillId="0" borderId="0" xfId="0" applyNumberFormat="1" applyFont="1" applyFill="1" applyBorder="1" applyAlignment="1" applyProtection="1">
      <alignment horizontal="left" vertical="center" wrapText="1"/>
    </xf>
    <xf numFmtId="0" fontId="9" fillId="3" borderId="0" xfId="0" applyNumberFormat="1" applyFont="1" applyFill="1" applyBorder="1" applyAlignment="1" applyProtection="1">
      <alignment horizontal="left" vertical="center" wrapText="1"/>
    </xf>
    <xf numFmtId="0" fontId="17" fillId="0" borderId="0" xfId="0" applyFont="1" applyBorder="1" applyAlignment="1" applyProtection="1">
      <alignment horizontal="left" wrapText="1"/>
    </xf>
    <xf numFmtId="0" fontId="0" fillId="0" borderId="0" xfId="0" applyBorder="1" applyAlignment="1" applyProtection="1">
      <alignment horizontal="left" vertical="center" wrapText="1" indent="1"/>
    </xf>
    <xf numFmtId="0" fontId="6" fillId="4" borderId="39" xfId="0" applyFont="1" applyFill="1" applyBorder="1" applyAlignment="1" applyProtection="1">
      <alignment horizontal="center" wrapText="1"/>
    </xf>
    <xf numFmtId="0" fontId="6" fillId="4" borderId="40" xfId="0" applyFont="1" applyFill="1" applyBorder="1" applyAlignment="1" applyProtection="1">
      <alignment horizontal="center" wrapText="1"/>
    </xf>
    <xf numFmtId="0" fontId="6" fillId="4" borderId="17" xfId="0" applyFont="1" applyFill="1" applyBorder="1" applyAlignment="1" applyProtection="1">
      <alignment horizontal="center" wrapText="1"/>
    </xf>
    <xf numFmtId="0" fontId="6" fillId="7" borderId="0" xfId="0" applyFont="1" applyFill="1" applyBorder="1" applyAlignment="1" applyProtection="1">
      <alignment horizontal="left" vertical="center"/>
    </xf>
    <xf numFmtId="0" fontId="14" fillId="0" borderId="10" xfId="0" applyFont="1" applyFill="1" applyBorder="1" applyAlignment="1" applyProtection="1">
      <alignment horizontal="center"/>
    </xf>
    <xf numFmtId="0" fontId="18" fillId="2" borderId="47" xfId="0" applyFont="1" applyFill="1" applyBorder="1" applyAlignment="1" applyProtection="1">
      <alignment horizontal="center" vertical="center" wrapText="1"/>
      <protection locked="0"/>
    </xf>
    <xf numFmtId="0" fontId="18" fillId="2" borderId="48" xfId="0" applyFont="1" applyFill="1" applyBorder="1" applyAlignment="1" applyProtection="1">
      <alignment horizontal="center" vertical="center" wrapText="1"/>
      <protection locked="0"/>
    </xf>
    <xf numFmtId="0" fontId="18" fillId="2" borderId="49" xfId="0" applyFont="1" applyFill="1" applyBorder="1" applyAlignment="1" applyProtection="1">
      <alignment horizontal="center" vertical="center" wrapText="1"/>
      <protection locked="0"/>
    </xf>
    <xf numFmtId="0" fontId="43" fillId="7" borderId="0" xfId="0" applyFont="1" applyFill="1" applyBorder="1" applyAlignment="1" applyProtection="1">
      <alignment horizontal="center" vertical="center" wrapText="1"/>
    </xf>
    <xf numFmtId="0" fontId="14" fillId="0" borderId="10" xfId="0" applyFont="1" applyFill="1" applyBorder="1" applyAlignment="1" applyProtection="1">
      <alignment horizontal="center" wrapText="1"/>
    </xf>
    <xf numFmtId="0" fontId="14" fillId="0" borderId="11" xfId="0" applyFont="1" applyFill="1" applyBorder="1" applyAlignment="1" applyProtection="1">
      <alignment horizontal="center" wrapText="1"/>
    </xf>
    <xf numFmtId="0" fontId="14" fillId="0" borderId="3" xfId="0" applyFont="1" applyFill="1" applyBorder="1" applyAlignment="1" applyProtection="1">
      <alignment horizontal="center" wrapText="1"/>
    </xf>
    <xf numFmtId="0" fontId="44" fillId="6" borderId="37" xfId="0" applyFont="1" applyFill="1" applyBorder="1" applyAlignment="1" applyProtection="1">
      <alignment horizontal="center" vertical="center" wrapText="1"/>
    </xf>
    <xf numFmtId="0" fontId="18" fillId="6" borderId="39" xfId="0" applyFont="1" applyFill="1" applyBorder="1" applyAlignment="1" applyProtection="1">
      <alignment horizontal="right" wrapText="1"/>
    </xf>
    <xf numFmtId="0" fontId="18" fillId="6" borderId="40" xfId="0" applyFont="1" applyFill="1" applyBorder="1" applyAlignment="1" applyProtection="1">
      <alignment horizontal="right" wrapText="1"/>
    </xf>
    <xf numFmtId="0" fontId="18" fillId="6" borderId="17" xfId="0" applyFont="1" applyFill="1" applyBorder="1" applyAlignment="1" applyProtection="1">
      <alignment horizontal="right" wrapText="1"/>
    </xf>
    <xf numFmtId="0" fontId="6" fillId="2" borderId="39" xfId="0" applyFont="1" applyFill="1" applyBorder="1" applyAlignment="1" applyProtection="1">
      <alignment horizontal="center"/>
    </xf>
    <xf numFmtId="0" fontId="6" fillId="2" borderId="40" xfId="0" applyFont="1" applyFill="1" applyBorder="1" applyAlignment="1" applyProtection="1">
      <alignment horizontal="center"/>
    </xf>
    <xf numFmtId="0" fontId="6" fillId="2" borderId="17" xfId="0" applyFont="1" applyFill="1" applyBorder="1" applyAlignment="1" applyProtection="1">
      <alignment horizontal="center"/>
    </xf>
    <xf numFmtId="0" fontId="6" fillId="2" borderId="39" xfId="0" applyFont="1" applyFill="1" applyBorder="1" applyAlignment="1" applyProtection="1">
      <alignment horizontal="center" wrapText="1"/>
    </xf>
    <xf numFmtId="0" fontId="6" fillId="2" borderId="17" xfId="0" applyFont="1" applyFill="1" applyBorder="1" applyAlignment="1" applyProtection="1">
      <alignment horizontal="center" wrapText="1"/>
    </xf>
    <xf numFmtId="0" fontId="6" fillId="2" borderId="40" xfId="0" applyFont="1" applyFill="1" applyBorder="1" applyAlignment="1" applyProtection="1">
      <alignment horizontal="center" wrapText="1"/>
    </xf>
    <xf numFmtId="0" fontId="6" fillId="2" borderId="6" xfId="0" applyFont="1" applyFill="1" applyBorder="1" applyAlignment="1" applyProtection="1">
      <alignment horizontal="center" wrapText="1"/>
    </xf>
    <xf numFmtId="0" fontId="6" fillId="6" borderId="73" xfId="0" applyFont="1" applyFill="1" applyBorder="1" applyAlignment="1" applyProtection="1">
      <alignment horizontal="center"/>
    </xf>
    <xf numFmtId="0" fontId="6" fillId="6" borderId="45" xfId="0" applyFont="1" applyFill="1" applyBorder="1" applyAlignment="1" applyProtection="1">
      <alignment horizontal="center"/>
    </xf>
    <xf numFmtId="0" fontId="6" fillId="6" borderId="13" xfId="0" applyFont="1" applyFill="1" applyBorder="1" applyAlignment="1" applyProtection="1">
      <alignment horizontal="center"/>
    </xf>
    <xf numFmtId="0" fontId="6" fillId="0" borderId="0" xfId="0" applyFont="1" applyFill="1" applyBorder="1" applyAlignment="1" applyProtection="1">
      <alignment horizontal="center" vertical="center" wrapText="1"/>
    </xf>
    <xf numFmtId="0" fontId="49" fillId="0" borderId="45" xfId="1" applyFont="1" applyFill="1" applyBorder="1" applyAlignment="1" applyProtection="1">
      <alignment horizontal="center" vertical="center" wrapText="1"/>
    </xf>
    <xf numFmtId="0" fontId="49" fillId="0" borderId="46" xfId="1" applyFont="1" applyFill="1" applyBorder="1" applyAlignment="1" applyProtection="1">
      <alignment horizontal="center" vertical="center" wrapText="1"/>
    </xf>
    <xf numFmtId="0" fontId="6" fillId="2" borderId="47" xfId="0" applyFont="1" applyFill="1" applyBorder="1" applyAlignment="1" applyProtection="1">
      <alignment horizontal="center" wrapText="1"/>
    </xf>
    <xf numFmtId="0" fontId="6" fillId="2" borderId="48" xfId="0" applyFont="1" applyFill="1" applyBorder="1" applyAlignment="1" applyProtection="1">
      <alignment horizontal="center" wrapText="1"/>
    </xf>
    <xf numFmtId="0" fontId="6" fillId="2" borderId="49" xfId="0" applyFont="1" applyFill="1" applyBorder="1" applyAlignment="1" applyProtection="1">
      <alignment horizontal="center" wrapText="1"/>
    </xf>
    <xf numFmtId="0" fontId="47" fillId="0" borderId="0" xfId="0" applyFont="1" applyFill="1" applyBorder="1" applyAlignment="1" applyProtection="1">
      <alignment horizontal="center" vertical="center" wrapText="1"/>
    </xf>
    <xf numFmtId="0" fontId="6" fillId="6" borderId="39" xfId="0" applyFont="1" applyFill="1" applyBorder="1" applyAlignment="1">
      <alignment horizontal="right" vertical="center" wrapText="1"/>
    </xf>
    <xf numFmtId="0" fontId="6" fillId="6" borderId="40" xfId="0" applyFont="1" applyFill="1" applyBorder="1" applyAlignment="1">
      <alignment horizontal="right" vertical="center" wrapText="1"/>
    </xf>
    <xf numFmtId="0" fontId="6" fillId="6" borderId="17" xfId="0" applyFont="1" applyFill="1" applyBorder="1" applyAlignment="1">
      <alignment horizontal="right" vertical="center" wrapText="1"/>
    </xf>
    <xf numFmtId="0" fontId="6" fillId="6" borderId="44" xfId="0" applyFont="1" applyFill="1" applyBorder="1" applyAlignment="1">
      <alignment horizontal="right" vertical="center" wrapText="1"/>
    </xf>
    <xf numFmtId="0" fontId="6" fillId="6" borderId="45" xfId="0" applyFont="1" applyFill="1" applyBorder="1" applyAlignment="1">
      <alignment horizontal="right" vertical="center" wrapText="1"/>
    </xf>
    <xf numFmtId="0" fontId="6" fillId="6" borderId="46" xfId="0" applyFont="1" applyFill="1" applyBorder="1" applyAlignment="1">
      <alignment horizontal="right"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0" fontId="6" fillId="2" borderId="39" xfId="0" applyFont="1" applyFill="1" applyBorder="1" applyAlignment="1" applyProtection="1">
      <alignment horizontal="center" vertical="center"/>
    </xf>
    <xf numFmtId="0" fontId="6" fillId="2" borderId="4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39" xfId="0" applyFont="1" applyFill="1" applyBorder="1" applyAlignment="1" applyProtection="1">
      <alignment horizontal="center" vertical="center" wrapText="1"/>
    </xf>
    <xf numFmtId="0" fontId="6" fillId="2" borderId="17" xfId="0" applyFont="1" applyFill="1" applyBorder="1" applyAlignment="1" applyProtection="1">
      <alignment horizontal="center" vertical="center" wrapText="1"/>
    </xf>
    <xf numFmtId="0" fontId="6" fillId="2" borderId="47" xfId="0" applyFont="1" applyFill="1" applyBorder="1" applyAlignment="1" applyProtection="1">
      <alignment horizontal="center" vertical="center" wrapText="1"/>
    </xf>
    <xf numFmtId="0" fontId="6" fillId="2" borderId="48" xfId="0" applyFont="1" applyFill="1" applyBorder="1" applyAlignment="1" applyProtection="1">
      <alignment horizontal="center" vertical="center" wrapText="1"/>
    </xf>
    <xf numFmtId="0" fontId="6" fillId="2" borderId="49" xfId="0" applyFont="1" applyFill="1" applyBorder="1" applyAlignment="1" applyProtection="1">
      <alignment horizontal="center" vertical="center" wrapText="1"/>
    </xf>
    <xf numFmtId="0" fontId="45" fillId="2" borderId="39" xfId="0" applyFont="1" applyFill="1" applyBorder="1" applyAlignment="1" applyProtection="1">
      <alignment horizontal="center" vertical="center" wrapText="1"/>
    </xf>
    <xf numFmtId="0" fontId="45" fillId="2" borderId="40" xfId="0" applyFont="1" applyFill="1" applyBorder="1" applyAlignment="1" applyProtection="1">
      <alignment horizontal="center" vertical="center" wrapText="1"/>
    </xf>
    <xf numFmtId="0" fontId="6" fillId="17" borderId="45" xfId="0" applyFont="1" applyFill="1" applyBorder="1" applyAlignment="1" applyProtection="1">
      <alignment horizontal="center" vertical="center" wrapText="1"/>
    </xf>
    <xf numFmtId="0" fontId="6" fillId="2" borderId="7" xfId="0" applyFont="1" applyFill="1" applyBorder="1" applyAlignment="1" applyProtection="1">
      <alignment horizontal="center" wrapText="1"/>
    </xf>
    <xf numFmtId="0" fontId="6" fillId="2" borderId="28" xfId="0" applyFont="1" applyFill="1" applyBorder="1" applyAlignment="1" applyProtection="1">
      <alignment horizontal="center" wrapText="1"/>
    </xf>
    <xf numFmtId="0" fontId="6" fillId="2" borderId="31" xfId="0" applyFont="1" applyFill="1" applyBorder="1" applyAlignment="1" applyProtection="1">
      <alignment horizontal="center"/>
    </xf>
    <xf numFmtId="0" fontId="6" fillId="2" borderId="8" xfId="0" applyFont="1" applyFill="1" applyBorder="1" applyAlignment="1" applyProtection="1">
      <alignment horizontal="center"/>
    </xf>
    <xf numFmtId="0" fontId="6" fillId="6" borderId="31" xfId="0" applyFont="1" applyFill="1" applyBorder="1" applyAlignment="1" applyProtection="1">
      <alignment horizontal="right" vertical="center" wrapText="1"/>
    </xf>
    <xf numFmtId="0" fontId="6" fillId="6" borderId="40" xfId="0" applyFont="1" applyFill="1" applyBorder="1" applyAlignment="1" applyProtection="1">
      <alignment horizontal="right" vertical="center" wrapText="1"/>
    </xf>
    <xf numFmtId="0" fontId="6" fillId="6" borderId="8" xfId="0" applyFont="1" applyFill="1" applyBorder="1" applyAlignment="1" applyProtection="1">
      <alignment horizontal="right" vertical="center" wrapText="1"/>
    </xf>
    <xf numFmtId="0" fontId="6" fillId="6" borderId="39" xfId="0" applyFont="1" applyFill="1" applyBorder="1" applyAlignment="1" applyProtection="1">
      <alignment horizontal="center" wrapText="1"/>
    </xf>
    <xf numFmtId="0" fontId="6" fillId="6" borderId="40" xfId="0" applyFont="1" applyFill="1" applyBorder="1" applyAlignment="1" applyProtection="1">
      <alignment horizontal="center" wrapText="1"/>
    </xf>
    <xf numFmtId="0" fontId="6" fillId="6" borderId="17" xfId="0" applyFont="1" applyFill="1" applyBorder="1" applyAlignment="1" applyProtection="1">
      <alignment horizontal="center" wrapText="1"/>
    </xf>
    <xf numFmtId="0" fontId="6" fillId="2" borderId="24" xfId="0" applyFont="1" applyFill="1" applyBorder="1" applyAlignment="1" applyProtection="1">
      <alignment horizontal="center" wrapText="1"/>
    </xf>
    <xf numFmtId="0" fontId="6" fillId="2" borderId="25" xfId="0" applyFont="1" applyFill="1" applyBorder="1" applyAlignment="1" applyProtection="1">
      <alignment horizontal="center" wrapText="1"/>
    </xf>
    <xf numFmtId="0" fontId="9" fillId="0" borderId="0" xfId="0" applyFont="1" applyBorder="1" applyAlignment="1">
      <alignment horizontal="left" vertical="top" wrapText="1"/>
    </xf>
    <xf numFmtId="0" fontId="0" fillId="0" borderId="0" xfId="0" applyBorder="1" applyAlignment="1">
      <alignment horizontal="left"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9" fillId="0" borderId="45" xfId="0" applyFont="1" applyBorder="1" applyAlignment="1">
      <alignment horizontal="left"/>
    </xf>
    <xf numFmtId="0" fontId="15" fillId="16" borderId="39" xfId="0" applyFont="1" applyFill="1" applyBorder="1" applyAlignment="1" applyProtection="1">
      <alignment horizontal="left" vertical="top" wrapText="1"/>
      <protection locked="0"/>
    </xf>
    <xf numFmtId="0" fontId="9" fillId="16" borderId="40" xfId="0" applyFont="1" applyFill="1" applyBorder="1" applyAlignment="1" applyProtection="1">
      <alignment horizontal="left" vertical="top" wrapText="1"/>
      <protection locked="0"/>
    </xf>
    <xf numFmtId="0" fontId="9" fillId="16" borderId="17" xfId="0" applyFont="1" applyFill="1" applyBorder="1" applyAlignment="1" applyProtection="1">
      <alignment horizontal="left" vertical="top" wrapText="1"/>
      <protection locked="0"/>
    </xf>
    <xf numFmtId="0" fontId="14" fillId="7" borderId="0" xfId="0" applyFont="1" applyFill="1" applyAlignment="1">
      <alignment horizontal="left" vertical="center"/>
    </xf>
    <xf numFmtId="0" fontId="14" fillId="7" borderId="0" xfId="0" applyFont="1" applyFill="1" applyAlignment="1">
      <alignment horizontal="left" vertical="center" wrapText="1"/>
    </xf>
    <xf numFmtId="0" fontId="14" fillId="0" borderId="0" xfId="0" applyFont="1" applyBorder="1" applyAlignment="1">
      <alignment horizontal="left" vertical="top" wrapText="1"/>
    </xf>
    <xf numFmtId="0" fontId="15" fillId="15" borderId="39"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top" wrapText="1"/>
      <protection locked="0"/>
    </xf>
    <xf numFmtId="0" fontId="9" fillId="15" borderId="17" xfId="0" applyFont="1" applyFill="1" applyBorder="1" applyAlignment="1" applyProtection="1">
      <alignment horizontal="left" vertical="top" wrapText="1"/>
      <protection locked="0"/>
    </xf>
    <xf numFmtId="0" fontId="9" fillId="0" borderId="45" xfId="0" applyFont="1" applyBorder="1" applyAlignment="1">
      <alignment horizontal="left" vertical="top" wrapText="1"/>
    </xf>
    <xf numFmtId="0" fontId="55" fillId="7" borderId="5" xfId="0" applyFont="1" applyFill="1" applyBorder="1" applyAlignment="1">
      <alignment horizontal="left" vertical="center" wrapText="1"/>
    </xf>
    <xf numFmtId="0" fontId="55" fillId="7" borderId="10" xfId="0" applyFont="1" applyFill="1" applyBorder="1" applyAlignment="1">
      <alignment horizontal="left" vertical="center" wrapText="1"/>
    </xf>
    <xf numFmtId="0" fontId="55" fillId="7" borderId="5" xfId="0" applyFont="1" applyFill="1" applyBorder="1" applyAlignment="1">
      <alignment horizontal="center" vertical="center" wrapText="1"/>
    </xf>
    <xf numFmtId="0" fontId="55" fillId="7" borderId="10" xfId="0" applyFont="1" applyFill="1" applyBorder="1" applyAlignment="1">
      <alignment horizontal="center" vertical="center" wrapText="1"/>
    </xf>
    <xf numFmtId="3" fontId="55" fillId="7" borderId="5" xfId="0" applyNumberFormat="1" applyFont="1" applyFill="1" applyBorder="1" applyAlignment="1">
      <alignment horizontal="left" vertical="center" wrapText="1"/>
    </xf>
    <xf numFmtId="3" fontId="55" fillId="7" borderId="10" xfId="0" applyNumberFormat="1" applyFont="1" applyFill="1" applyBorder="1" applyAlignment="1">
      <alignment horizontal="left" vertical="center" wrapText="1"/>
    </xf>
    <xf numFmtId="0" fontId="55" fillId="7" borderId="1" xfId="0" applyFont="1" applyFill="1" applyBorder="1" applyAlignment="1">
      <alignment vertical="center" wrapText="1"/>
    </xf>
    <xf numFmtId="17" fontId="55" fillId="7" borderId="1" xfId="0" applyNumberFormat="1" applyFont="1" applyFill="1" applyBorder="1" applyAlignment="1">
      <alignment vertical="center" wrapText="1"/>
    </xf>
    <xf numFmtId="3" fontId="55" fillId="7" borderId="5" xfId="0" applyNumberFormat="1" applyFont="1" applyFill="1" applyBorder="1" applyAlignment="1">
      <alignment horizontal="center" vertical="center" wrapText="1"/>
    </xf>
    <xf numFmtId="3" fontId="55" fillId="7" borderId="10" xfId="0" applyNumberFormat="1" applyFont="1" applyFill="1" applyBorder="1" applyAlignment="1">
      <alignment horizontal="center" vertical="center" wrapText="1"/>
    </xf>
    <xf numFmtId="0" fontId="55" fillId="23" borderId="29" xfId="0" applyFont="1" applyFill="1" applyBorder="1" applyAlignment="1">
      <alignment vertical="center" wrapText="1"/>
    </xf>
    <xf numFmtId="0" fontId="55" fillId="23" borderId="35" xfId="0" applyFont="1" applyFill="1" applyBorder="1" applyAlignment="1">
      <alignment vertical="center" wrapText="1"/>
    </xf>
    <xf numFmtId="0" fontId="57" fillId="7" borderId="30" xfId="0" applyFont="1" applyFill="1" applyBorder="1" applyAlignment="1">
      <alignment horizontal="left" vertical="top" wrapText="1"/>
    </xf>
    <xf numFmtId="0" fontId="57" fillId="7" borderId="37" xfId="0" applyFont="1" applyFill="1" applyBorder="1" applyAlignment="1">
      <alignment horizontal="left" vertical="top" wrapText="1"/>
    </xf>
    <xf numFmtId="0" fontId="57" fillId="7" borderId="2" xfId="0" applyFont="1" applyFill="1" applyBorder="1" applyAlignment="1">
      <alignment horizontal="left" vertical="top" wrapText="1"/>
    </xf>
    <xf numFmtId="0" fontId="0" fillId="7" borderId="58" xfId="0" applyFill="1" applyBorder="1" applyAlignment="1">
      <alignment horizontal="center" vertical="center"/>
    </xf>
    <xf numFmtId="0" fontId="0" fillId="7" borderId="75" xfId="0" applyFill="1" applyBorder="1" applyAlignment="1">
      <alignment horizontal="center" vertical="center"/>
    </xf>
    <xf numFmtId="0" fontId="0" fillId="7" borderId="4" xfId="0" applyFill="1" applyBorder="1" applyAlignment="1">
      <alignment horizontal="center" vertical="center"/>
    </xf>
    <xf numFmtId="0" fontId="0" fillId="7" borderId="29" xfId="0" applyFill="1" applyBorder="1" applyAlignment="1">
      <alignment horizontal="center" vertical="center"/>
    </xf>
    <xf numFmtId="0" fontId="0" fillId="7" borderId="35" xfId="0" applyFill="1" applyBorder="1" applyAlignment="1">
      <alignment horizontal="center" vertical="center"/>
    </xf>
    <xf numFmtId="0" fontId="0" fillId="7" borderId="9" xfId="0" applyFill="1" applyBorder="1" applyAlignment="1">
      <alignment horizontal="center" vertical="center"/>
    </xf>
    <xf numFmtId="0" fontId="9" fillId="7" borderId="30" xfId="0" applyFont="1" applyFill="1" applyBorder="1" applyAlignment="1">
      <alignment horizontal="center" vertical="center" wrapText="1"/>
    </xf>
    <xf numFmtId="0" fontId="0" fillId="7" borderId="37" xfId="0" applyFill="1" applyBorder="1" applyAlignment="1">
      <alignment horizontal="center" vertical="center" wrapText="1"/>
    </xf>
    <xf numFmtId="0" fontId="0" fillId="7" borderId="2" xfId="0" applyFill="1" applyBorder="1" applyAlignment="1">
      <alignment horizontal="center" vertical="center" wrapText="1"/>
    </xf>
    <xf numFmtId="0" fontId="9" fillId="7" borderId="30"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2" xfId="0" applyFont="1" applyFill="1" applyBorder="1" applyAlignment="1">
      <alignment horizontal="center" vertical="center"/>
    </xf>
    <xf numFmtId="0" fontId="55" fillId="7" borderId="1" xfId="0" applyFont="1" applyFill="1" applyBorder="1" applyAlignment="1">
      <alignment horizontal="center" vertical="center" wrapText="1"/>
    </xf>
    <xf numFmtId="17" fontId="55" fillId="7" borderId="5" xfId="0" applyNumberFormat="1" applyFont="1" applyFill="1" applyBorder="1" applyAlignment="1">
      <alignment horizontal="right" vertical="center" wrapText="1"/>
    </xf>
    <xf numFmtId="17" fontId="55" fillId="7" borderId="10" xfId="0" applyNumberFormat="1" applyFont="1" applyFill="1" applyBorder="1" applyAlignment="1">
      <alignment horizontal="right" vertical="center" wrapText="1"/>
    </xf>
    <xf numFmtId="3" fontId="55" fillId="7" borderId="1" xfId="0" applyNumberFormat="1" applyFont="1" applyFill="1" applyBorder="1" applyAlignment="1">
      <alignment vertical="center" wrapText="1"/>
    </xf>
    <xf numFmtId="0" fontId="55" fillId="7" borderId="1" xfId="0" applyFont="1" applyFill="1" applyBorder="1" applyAlignment="1">
      <alignment horizontal="left" vertical="center" wrapText="1"/>
    </xf>
    <xf numFmtId="0" fontId="9" fillId="7" borderId="5" xfId="0" applyFont="1" applyFill="1" applyBorder="1" applyAlignment="1">
      <alignment horizontal="center"/>
    </xf>
    <xf numFmtId="0" fontId="9" fillId="7" borderId="10" xfId="0" applyFont="1" applyFill="1" applyBorder="1" applyAlignment="1">
      <alignment horizontal="center"/>
    </xf>
    <xf numFmtId="14" fontId="55" fillId="7" borderId="5" xfId="0" quotePrefix="1" applyNumberFormat="1" applyFont="1" applyFill="1" applyBorder="1" applyAlignment="1">
      <alignment horizontal="right" vertical="center" wrapText="1"/>
    </xf>
    <xf numFmtId="0" fontId="55" fillId="7" borderId="10" xfId="0" applyFont="1" applyFill="1" applyBorder="1" applyAlignment="1">
      <alignment horizontal="right" vertical="center" wrapText="1"/>
    </xf>
    <xf numFmtId="0" fontId="54" fillId="21" borderId="30" xfId="0" applyFont="1" applyFill="1" applyBorder="1" applyAlignment="1">
      <alignment horizontal="center"/>
    </xf>
    <xf numFmtId="0" fontId="54" fillId="21" borderId="37" xfId="0" applyFont="1" applyFill="1" applyBorder="1" applyAlignment="1">
      <alignment horizontal="center"/>
    </xf>
    <xf numFmtId="0" fontId="54" fillId="21" borderId="2" xfId="0" applyFont="1" applyFill="1" applyBorder="1" applyAlignment="1">
      <alignment horizontal="center"/>
    </xf>
    <xf numFmtId="0" fontId="55" fillId="21" borderId="30" xfId="0" applyFont="1" applyFill="1" applyBorder="1" applyAlignment="1">
      <alignment horizontal="center" vertical="center" wrapText="1"/>
    </xf>
    <xf numFmtId="0" fontId="55" fillId="21" borderId="37" xfId="0" applyFont="1" applyFill="1" applyBorder="1" applyAlignment="1">
      <alignment horizontal="center" vertical="center" wrapText="1"/>
    </xf>
    <xf numFmtId="0" fontId="55" fillId="21" borderId="2" xfId="0" applyFont="1" applyFill="1" applyBorder="1" applyAlignment="1">
      <alignment horizontal="center" vertical="center" wrapText="1"/>
    </xf>
    <xf numFmtId="0" fontId="6" fillId="20" borderId="39" xfId="0" applyFont="1" applyFill="1" applyBorder="1" applyAlignment="1">
      <alignment horizontal="center" wrapText="1"/>
    </xf>
    <xf numFmtId="0" fontId="6" fillId="20" borderId="40" xfId="0" applyFont="1" applyFill="1" applyBorder="1" applyAlignment="1">
      <alignment horizontal="center" wrapText="1"/>
    </xf>
    <xf numFmtId="0" fontId="6" fillId="20" borderId="17" xfId="0" applyFont="1" applyFill="1" applyBorder="1" applyAlignment="1">
      <alignment horizontal="center" wrapText="1"/>
    </xf>
    <xf numFmtId="0" fontId="55" fillId="23" borderId="30" xfId="0" applyFont="1" applyFill="1" applyBorder="1" applyAlignment="1">
      <alignment vertical="center" wrapText="1"/>
    </xf>
    <xf numFmtId="0" fontId="55" fillId="23" borderId="37" xfId="0" applyFont="1" applyFill="1" applyBorder="1" applyAlignment="1">
      <alignment vertical="center" wrapText="1"/>
    </xf>
    <xf numFmtId="0" fontId="55" fillId="23" borderId="2" xfId="0" applyFont="1" applyFill="1" applyBorder="1" applyAlignment="1">
      <alignment vertical="center" wrapText="1"/>
    </xf>
    <xf numFmtId="0" fontId="0" fillId="7" borderId="5" xfId="0" applyFill="1" applyBorder="1" applyAlignment="1">
      <alignment horizontal="center"/>
    </xf>
    <xf numFmtId="0" fontId="0" fillId="7" borderId="10" xfId="0" applyFill="1" applyBorder="1" applyAlignment="1">
      <alignment horizontal="center"/>
    </xf>
    <xf numFmtId="0" fontId="9" fillId="7" borderId="5" xfId="0" applyFont="1" applyFill="1" applyBorder="1" applyAlignment="1">
      <alignment horizontal="center" vertical="center"/>
    </xf>
    <xf numFmtId="0" fontId="0" fillId="7" borderId="10" xfId="0" applyFill="1" applyBorder="1" applyAlignment="1">
      <alignment horizontal="center" vertical="center"/>
    </xf>
    <xf numFmtId="0" fontId="6" fillId="7" borderId="0" xfId="0" applyFont="1" applyFill="1" applyBorder="1" applyAlignment="1" applyProtection="1">
      <alignment horizontal="center" wrapText="1"/>
    </xf>
    <xf numFmtId="0" fontId="50" fillId="7" borderId="45" xfId="1" applyFont="1" applyFill="1" applyBorder="1" applyAlignment="1" applyProtection="1">
      <alignment horizontal="center" vertical="center" wrapText="1"/>
    </xf>
    <xf numFmtId="0" fontId="9" fillId="3" borderId="0" xfId="0" applyFont="1" applyFill="1" applyBorder="1" applyAlignment="1" applyProtection="1">
      <alignment vertical="top" wrapText="1"/>
    </xf>
    <xf numFmtId="0" fontId="15" fillId="7" borderId="0" xfId="0" applyFont="1" applyFill="1" applyBorder="1" applyAlignment="1" applyProtection="1">
      <alignment horizontal="left" vertical="top" wrapText="1"/>
    </xf>
    <xf numFmtId="0" fontId="17" fillId="15" borderId="41" xfId="0" applyFont="1" applyFill="1" applyBorder="1" applyAlignment="1" applyProtection="1">
      <alignment horizontal="left" wrapText="1"/>
      <protection locked="0"/>
    </xf>
    <xf numFmtId="0" fontId="17" fillId="15" borderId="15" xfId="0" applyFont="1" applyFill="1" applyBorder="1" applyAlignment="1" applyProtection="1">
      <alignment horizontal="left" wrapText="1"/>
      <protection locked="0"/>
    </xf>
    <xf numFmtId="0" fontId="17" fillId="15" borderId="21" xfId="0" applyFont="1" applyFill="1" applyBorder="1" applyAlignment="1" applyProtection="1">
      <alignment horizontal="left" wrapText="1"/>
      <protection locked="0"/>
    </xf>
    <xf numFmtId="0" fontId="17" fillId="15" borderId="42" xfId="0" applyFont="1" applyFill="1" applyBorder="1" applyAlignment="1" applyProtection="1">
      <alignment horizontal="left" wrapText="1"/>
      <protection locked="0"/>
    </xf>
    <xf numFmtId="0" fontId="17" fillId="15" borderId="0" xfId="0" applyFont="1" applyFill="1" applyBorder="1" applyAlignment="1" applyProtection="1">
      <alignment horizontal="left" wrapText="1"/>
      <protection locked="0"/>
    </xf>
    <xf numFmtId="0" fontId="17" fillId="15" borderId="43" xfId="0" applyFont="1" applyFill="1" applyBorder="1" applyAlignment="1" applyProtection="1">
      <alignment horizontal="left" wrapText="1"/>
      <protection locked="0"/>
    </xf>
    <xf numFmtId="0" fontId="17" fillId="15" borderId="44" xfId="0" applyFont="1" applyFill="1" applyBorder="1" applyAlignment="1" applyProtection="1">
      <alignment horizontal="left" wrapText="1"/>
      <protection locked="0"/>
    </xf>
    <xf numFmtId="0" fontId="17" fillId="15" borderId="45" xfId="0" applyFont="1" applyFill="1" applyBorder="1" applyAlignment="1" applyProtection="1">
      <alignment horizontal="left" wrapText="1"/>
      <protection locked="0"/>
    </xf>
    <xf numFmtId="0" fontId="17" fillId="15" borderId="46" xfId="0" applyFont="1" applyFill="1" applyBorder="1" applyAlignment="1" applyProtection="1">
      <alignment horizontal="left" wrapText="1"/>
      <protection locked="0"/>
    </xf>
    <xf numFmtId="0" fontId="17" fillId="15" borderId="41" xfId="0" applyFont="1" applyFill="1" applyBorder="1" applyAlignment="1" applyProtection="1">
      <alignment horizontal="left" vertical="top" wrapText="1"/>
      <protection locked="0"/>
    </xf>
    <xf numFmtId="0" fontId="17" fillId="15" borderId="15" xfId="0" applyFont="1" applyFill="1" applyBorder="1" applyAlignment="1" applyProtection="1">
      <alignment horizontal="left" vertical="top" wrapText="1"/>
      <protection locked="0"/>
    </xf>
    <xf numFmtId="0" fontId="17" fillId="15" borderId="21" xfId="0" applyFont="1" applyFill="1" applyBorder="1" applyAlignment="1" applyProtection="1">
      <alignment horizontal="left" vertical="top" wrapText="1"/>
      <protection locked="0"/>
    </xf>
    <xf numFmtId="0" fontId="17" fillId="15" borderId="42" xfId="0" applyFont="1" applyFill="1" applyBorder="1" applyAlignment="1" applyProtection="1">
      <alignment horizontal="left" vertical="top" wrapText="1"/>
      <protection locked="0"/>
    </xf>
    <xf numFmtId="0" fontId="17" fillId="15" borderId="0" xfId="0" applyFont="1" applyFill="1" applyBorder="1" applyAlignment="1" applyProtection="1">
      <alignment horizontal="left" vertical="top" wrapText="1"/>
      <protection locked="0"/>
    </xf>
    <xf numFmtId="0" fontId="17" fillId="15" borderId="43" xfId="0" applyFont="1" applyFill="1" applyBorder="1" applyAlignment="1" applyProtection="1">
      <alignment horizontal="left" vertical="top" wrapText="1"/>
      <protection locked="0"/>
    </xf>
    <xf numFmtId="0" fontId="17" fillId="15" borderId="44" xfId="0" applyFont="1" applyFill="1" applyBorder="1" applyAlignment="1" applyProtection="1">
      <alignment horizontal="left" vertical="top" wrapText="1"/>
      <protection locked="0"/>
    </xf>
    <xf numFmtId="0" fontId="17" fillId="15" borderId="45" xfId="0" applyFont="1" applyFill="1" applyBorder="1" applyAlignment="1" applyProtection="1">
      <alignment horizontal="left" vertical="top" wrapText="1"/>
      <protection locked="0"/>
    </xf>
    <xf numFmtId="0" fontId="17" fillId="15" borderId="46" xfId="0" applyFont="1" applyFill="1" applyBorder="1" applyAlignment="1" applyProtection="1">
      <alignment horizontal="left" vertical="top" wrapText="1"/>
      <protection locked="0"/>
    </xf>
    <xf numFmtId="0" fontId="9" fillId="0" borderId="0" xfId="0" applyFont="1" applyFill="1" applyBorder="1" applyAlignment="1">
      <alignment wrapText="1"/>
    </xf>
    <xf numFmtId="0" fontId="17" fillId="15" borderId="39" xfId="0" applyFont="1" applyFill="1" applyBorder="1" applyAlignment="1" applyProtection="1">
      <alignment horizontal="left" wrapText="1"/>
      <protection locked="0"/>
    </xf>
    <xf numFmtId="0" fontId="6" fillId="15" borderId="40" xfId="0" applyFont="1" applyFill="1" applyBorder="1" applyAlignment="1" applyProtection="1">
      <alignment horizontal="left" wrapText="1"/>
      <protection locked="0"/>
    </xf>
    <xf numFmtId="0" fontId="6" fillId="15" borderId="17" xfId="0" applyFont="1" applyFill="1" applyBorder="1" applyAlignment="1" applyProtection="1">
      <alignment horizontal="left" wrapText="1"/>
      <protection locked="0"/>
    </xf>
    <xf numFmtId="0" fontId="0" fillId="0" borderId="1" xfId="0" applyBorder="1" applyAlignment="1" applyProtection="1">
      <alignment horizontal="left"/>
    </xf>
    <xf numFmtId="0" fontId="0" fillId="0" borderId="1" xfId="0" applyBorder="1" applyAlignment="1" applyProtection="1">
      <alignment horizontal="center"/>
    </xf>
    <xf numFmtId="0" fontId="41" fillId="0" borderId="1" xfId="0" applyFont="1" applyFill="1" applyBorder="1" applyAlignment="1" applyProtection="1">
      <alignment horizontal="center"/>
    </xf>
    <xf numFmtId="0" fontId="30" fillId="14" borderId="30" xfId="0" applyFont="1" applyFill="1" applyBorder="1" applyAlignment="1" applyProtection="1">
      <alignment horizontal="center" vertical="center"/>
    </xf>
    <xf numFmtId="0" fontId="30" fillId="14" borderId="2" xfId="0" applyFont="1" applyFill="1" applyBorder="1" applyAlignment="1" applyProtection="1">
      <alignment horizontal="center" vertical="center"/>
    </xf>
    <xf numFmtId="0" fontId="0" fillId="11" borderId="1" xfId="0" applyFill="1" applyBorder="1" applyAlignment="1" applyProtection="1">
      <alignment horizontal="center"/>
    </xf>
    <xf numFmtId="0" fontId="38" fillId="12" borderId="1" xfId="0" applyFont="1" applyFill="1" applyBorder="1" applyAlignment="1" applyProtection="1">
      <alignment horizontal="center"/>
    </xf>
    <xf numFmtId="0" fontId="30" fillId="13" borderId="1" xfId="0" applyFont="1" applyFill="1" applyBorder="1" applyAlignment="1" applyProtection="1">
      <alignment horizontal="center" vertical="center"/>
    </xf>
    <xf numFmtId="0" fontId="38" fillId="14" borderId="1" xfId="0" applyFont="1" applyFill="1" applyBorder="1" applyAlignment="1" applyProtection="1">
      <alignment horizontal="center"/>
    </xf>
    <xf numFmtId="0" fontId="30" fillId="14" borderId="1" xfId="0" applyFont="1" applyFill="1" applyBorder="1" applyAlignment="1" applyProtection="1">
      <alignment horizontal="center" vertical="center"/>
    </xf>
    <xf numFmtId="0" fontId="39" fillId="0" borderId="58" xfId="0" applyFont="1" applyBorder="1" applyAlignment="1" applyProtection="1">
      <alignment horizontal="center" vertical="center" wrapText="1"/>
    </xf>
    <xf numFmtId="0" fontId="39" fillId="0" borderId="4" xfId="0" applyFont="1" applyBorder="1" applyAlignment="1" applyProtection="1">
      <alignment horizontal="center" vertical="center" wrapText="1"/>
    </xf>
    <xf numFmtId="0" fontId="39" fillId="0" borderId="59" xfId="0" applyFont="1" applyBorder="1" applyAlignment="1" applyProtection="1">
      <alignment horizontal="center" vertical="center" wrapText="1"/>
    </xf>
    <xf numFmtId="0" fontId="39" fillId="0" borderId="60" xfId="0" applyFont="1" applyBorder="1" applyAlignment="1" applyProtection="1">
      <alignment horizontal="center" vertical="center" wrapText="1"/>
    </xf>
    <xf numFmtId="0" fontId="39" fillId="0" borderId="29" xfId="0" applyFont="1" applyBorder="1" applyAlignment="1" applyProtection="1">
      <alignment horizontal="center" vertical="center" wrapText="1"/>
    </xf>
    <xf numFmtId="0" fontId="39" fillId="0" borderId="9" xfId="0" applyFont="1" applyBorder="1" applyAlignment="1" applyProtection="1">
      <alignment horizontal="center" vertical="center" wrapText="1"/>
    </xf>
    <xf numFmtId="0" fontId="32" fillId="9" borderId="30" xfId="5" applyFont="1" applyFill="1" applyBorder="1" applyAlignment="1" applyProtection="1">
      <alignment horizontal="center" vertical="center"/>
    </xf>
    <xf numFmtId="0" fontId="32" fillId="9" borderId="37" xfId="5" applyFont="1" applyFill="1" applyBorder="1" applyAlignment="1" applyProtection="1">
      <alignment horizontal="center" vertical="center"/>
    </xf>
    <xf numFmtId="0" fontId="32" fillId="9" borderId="2" xfId="5" applyFont="1" applyFill="1" applyBorder="1" applyAlignment="1" applyProtection="1">
      <alignment horizontal="center" vertical="center"/>
    </xf>
    <xf numFmtId="0" fontId="32" fillId="10" borderId="30" xfId="5" applyFont="1" applyFill="1" applyBorder="1" applyAlignment="1" applyProtection="1">
      <alignment horizontal="center" vertical="center"/>
    </xf>
    <xf numFmtId="0" fontId="32" fillId="10" borderId="2" xfId="5" applyFont="1" applyFill="1" applyBorder="1" applyAlignment="1" applyProtection="1">
      <alignment horizontal="center" vertical="center"/>
    </xf>
    <xf numFmtId="0" fontId="0" fillId="0" borderId="1" xfId="0" applyBorder="1" applyAlignment="1" applyProtection="1">
      <alignment horizontal="center" vertical="center"/>
    </xf>
    <xf numFmtId="0" fontId="39" fillId="11" borderId="58" xfId="0" applyFont="1" applyFill="1" applyBorder="1" applyAlignment="1" applyProtection="1">
      <alignment horizontal="center" vertical="center" wrapText="1"/>
    </xf>
    <xf numFmtId="0" fontId="39" fillId="11" borderId="4" xfId="0" applyFont="1" applyFill="1" applyBorder="1" applyAlignment="1" applyProtection="1">
      <alignment horizontal="center" vertical="center" wrapText="1"/>
    </xf>
    <xf numFmtId="0" fontId="39" fillId="11" borderId="59" xfId="0" applyFont="1" applyFill="1" applyBorder="1" applyAlignment="1" applyProtection="1">
      <alignment horizontal="center" vertical="center" wrapText="1"/>
    </xf>
    <xf numFmtId="0" fontId="39" fillId="11" borderId="60" xfId="0" applyFont="1" applyFill="1" applyBorder="1" applyAlignment="1" applyProtection="1">
      <alignment horizontal="center" vertical="center" wrapText="1"/>
    </xf>
    <xf numFmtId="0" fontId="39" fillId="11" borderId="29" xfId="0" applyFont="1" applyFill="1" applyBorder="1" applyAlignment="1" applyProtection="1">
      <alignment horizontal="center" vertical="center" wrapText="1"/>
    </xf>
    <xf numFmtId="0" fontId="39" fillId="11" borderId="9" xfId="0" applyFont="1" applyFill="1" applyBorder="1" applyAlignment="1" applyProtection="1">
      <alignment horizontal="center" vertical="center" wrapText="1"/>
    </xf>
  </cellXfs>
  <cellStyles count="40">
    <cellStyle name="Comma" xfId="9" builtinId="3"/>
    <cellStyle name="Comma 10" xfId="18"/>
    <cellStyle name="Comma 11" xfId="13"/>
    <cellStyle name="Comma 2" xfId="7"/>
    <cellStyle name="Comma 2 2" xfId="14"/>
    <cellStyle name="Comma 2 3" xfId="29"/>
    <cellStyle name="Comma 2 4" xfId="35"/>
    <cellStyle name="Comma 3" xfId="16"/>
    <cellStyle name="Currency 2" xfId="15"/>
    <cellStyle name="Excel Built-in Normal" xfId="20"/>
    <cellStyle name="Hyperlink" xfId="1" builtinId="8"/>
    <cellStyle name="Hyperlink 2" xfId="8"/>
    <cellStyle name="Hyperlink 2 2" xfId="11"/>
    <cellStyle name="Hyperlink 3" xfId="21"/>
    <cellStyle name="Hyperlink 4" xfId="22"/>
    <cellStyle name="Normal" xfId="0" builtinId="0"/>
    <cellStyle name="Normal 2" xfId="2"/>
    <cellStyle name="Normal 2 2 3" xfId="12"/>
    <cellStyle name="Normal 2 2 3 2" xfId="31"/>
    <cellStyle name="Normal 2 2 3 3" xfId="37"/>
    <cellStyle name="Normal 3" xfId="3"/>
    <cellStyle name="Normal 4" xfId="4"/>
    <cellStyle name="Normal 4 2" xfId="26"/>
    <cellStyle name="Normal 4 2 2" xfId="32"/>
    <cellStyle name="Normal 4 2 3" xfId="38"/>
    <cellStyle name="Normal 4 3" xfId="27"/>
    <cellStyle name="Normal 4 4" xfId="33"/>
    <cellStyle name="Normal 5" xfId="6"/>
    <cellStyle name="Normal 5 2" xfId="28"/>
    <cellStyle name="Normal 5 3" xfId="34"/>
    <cellStyle name="Normal 6" xfId="10"/>
    <cellStyle name="Normal 6 2" xfId="30"/>
    <cellStyle name="Normal 6 3" xfId="36"/>
    <cellStyle name="Normal 61" xfId="24"/>
    <cellStyle name="Normal 62" xfId="25"/>
    <cellStyle name="Normal 7 2" xfId="17"/>
    <cellStyle name="Normal_Sheet1" xfId="5"/>
    <cellStyle name="Percent" xfId="39" builtinId="5"/>
    <cellStyle name="Percent 2" xfId="19"/>
    <cellStyle name="Total 2" xfId="23"/>
  </cellStyles>
  <dxfs count="0"/>
  <tableStyles count="0" defaultTableStyle="TableStyleMedium2" defaultPivotStyle="PivotStyleLight16"/>
  <colors>
    <mruColors>
      <color rgb="FF008000"/>
      <color rgb="FFFFFF99"/>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571/AppData/Local/Microsoft/Windows/Temporary%20Internet%20Files/Content.Outlook/2OZXWM8A/EnergyConversions_.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brown/AppData/Local/Microsoft/Windows/Temporary%20Internet%20Files/Content.Outlook/17T8AVCZ/Middlefield%20GC%20Annual%20Report%20Fall%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Quick Calculations"/>
      <sheetName val="RE"/>
      <sheetName val="Building"/>
      <sheetName val="Vehicles"/>
      <sheetName val="Reference"/>
      <sheetName val="source"/>
    </sheetNames>
    <sheetDataSet>
      <sheetData sheetId="0"/>
      <sheetData sheetId="1"/>
      <sheetData sheetId="2"/>
      <sheetData sheetId="3"/>
      <sheetData sheetId="4"/>
      <sheetData sheetId="5"/>
      <sheetData sheetId="6">
        <row r="2">
          <cell r="A2">
            <v>0</v>
          </cell>
        </row>
        <row r="3">
          <cell r="A3" t="str">
            <v>FY_2002</v>
          </cell>
        </row>
        <row r="4">
          <cell r="A4" t="str">
            <v>FY_2003</v>
          </cell>
        </row>
        <row r="5">
          <cell r="A5" t="str">
            <v>FY_2004</v>
          </cell>
        </row>
        <row r="6">
          <cell r="A6" t="str">
            <v>FY_2005</v>
          </cell>
        </row>
        <row r="7">
          <cell r="A7" t="str">
            <v>FY_2006</v>
          </cell>
        </row>
        <row r="8">
          <cell r="A8" t="str">
            <v>FY_2007</v>
          </cell>
        </row>
        <row r="9">
          <cell r="A9" t="str">
            <v>FY_2008</v>
          </cell>
        </row>
        <row r="10">
          <cell r="A10" t="str">
            <v>FY_2009</v>
          </cell>
        </row>
        <row r="11">
          <cell r="A11" t="str">
            <v>FY_2010</v>
          </cell>
        </row>
        <row r="12">
          <cell r="A12" t="str">
            <v>FY_2011</v>
          </cell>
        </row>
        <row r="13">
          <cell r="A13" t="str">
            <v>FY_2012</v>
          </cell>
        </row>
        <row r="14">
          <cell r="A14" t="str">
            <v>FY_2013</v>
          </cell>
        </row>
        <row r="15">
          <cell r="A15" t="str">
            <v>FY_2014</v>
          </cell>
        </row>
        <row r="16">
          <cell r="A16" t="str">
            <v>CY_2001</v>
          </cell>
        </row>
        <row r="17">
          <cell r="A17" t="str">
            <v>CY_2002</v>
          </cell>
        </row>
        <row r="18">
          <cell r="A18" t="str">
            <v>CY_2003</v>
          </cell>
        </row>
        <row r="19">
          <cell r="A19" t="str">
            <v>CY_2004</v>
          </cell>
        </row>
        <row r="20">
          <cell r="A20" t="str">
            <v>CY_2005</v>
          </cell>
        </row>
        <row r="21">
          <cell r="A21" t="str">
            <v>CY_2006</v>
          </cell>
        </row>
        <row r="22">
          <cell r="A22" t="str">
            <v>CY_2007</v>
          </cell>
        </row>
        <row r="23">
          <cell r="A23" t="str">
            <v>CY_2008</v>
          </cell>
        </row>
        <row r="24">
          <cell r="A24" t="str">
            <v>CY_2009</v>
          </cell>
        </row>
        <row r="25">
          <cell r="A25" t="str">
            <v>CY_2010</v>
          </cell>
        </row>
        <row r="26">
          <cell r="A26" t="str">
            <v>CY_2011</v>
          </cell>
        </row>
        <row r="27">
          <cell r="A27" t="str">
            <v>CY_2012</v>
          </cell>
        </row>
        <row r="28">
          <cell r="A28" t="str">
            <v>CY_2013</v>
          </cell>
        </row>
        <row r="29">
          <cell r="A29" t="str">
            <v>CY_2014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
      <sheetName val="Crit 1 &amp; 2"/>
      <sheetName val="Crit 1 &amp; 2 - Table 1 Sample"/>
      <sheetName val="Crit 3 - Overview"/>
      <sheetName val="Crit 3 -Table 2 Progress"/>
      <sheetName val="Crit 3 -Tbl 3 for Non-MEI Users"/>
      <sheetName val="Crit 3 - ECMs"/>
      <sheetName val="Crit 3 - Table 4 ECMs"/>
      <sheetName val="Crit 3 - Tbl 4 ECMs SAMPLE Data"/>
      <sheetName val="Crit 3 - Table 5 RE"/>
      <sheetName val="Crit 4 - Vehicle Policies"/>
      <sheetName val="Crit 4 - Table 6 Vehicle Inv."/>
      <sheetName val="Crit 4 - Table 6 SAMPLE"/>
      <sheetName val="Crit 5 - Table 7 "/>
      <sheetName val="Other Notes"/>
      <sheetName val="RE Guidance"/>
      <sheetName val="DOER reference"/>
      <sheetName val="Referenc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E1" t="str">
            <v>&lt;Select YES or NO&gt;</v>
          </cell>
        </row>
        <row r="2">
          <cell r="E2" t="str">
            <v>YES</v>
          </cell>
        </row>
        <row r="3">
          <cell r="E3" t="str">
            <v>NO</v>
          </cell>
        </row>
      </sheetData>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sites.google.com/site/massdgic/home/net-metering"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hyperlink" Target="http://www.theclimateregistry.org/downloads/2013/01/2013-Climate-Registry-Default-Emissions-Factors.pdf;%201%20Gallon%20Gasoline%20Equivalent%20=%20126.67%20SCF-%20%20CNG%20is%20typically%20sold%20in%20GGE%20instead%20of%20SCF" TargetMode="External"/><Relationship Id="rId2" Type="http://schemas.openxmlformats.org/officeDocument/2006/relationships/hyperlink" Target="http://www.theclimateregistry.org/downloads/2013/01/2013-Climate-Registry-Default-Emissions-Factors.pdf" TargetMode="External"/><Relationship Id="rId1" Type="http://schemas.openxmlformats.org/officeDocument/2006/relationships/hyperlink" Target="http://www.epa.gov/cleanenergy/energy-resources/ref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mass.gov/eea/energy-utilities-clean-tech/green-communities/gc-grant-program/criterion-3.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www.fueleconomy.gov/" TargetMode="External"/><Relationship Id="rId2" Type="http://schemas.openxmlformats.org/officeDocument/2006/relationships/hyperlink" Target="http://www.fueleconomy.gov/" TargetMode="External"/><Relationship Id="rId1" Type="http://schemas.openxmlformats.org/officeDocument/2006/relationships/hyperlink" Target="http://www.energystar.gov/ia/business/downloads/BP_Checklist.pdf"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33"/>
  <sheetViews>
    <sheetView showGridLines="0" topLeftCell="A10" zoomScaleNormal="100" workbookViewId="0">
      <selection activeCell="E22" sqref="E22"/>
    </sheetView>
  </sheetViews>
  <sheetFormatPr defaultColWidth="0" defaultRowHeight="12.75" zeroHeight="1" x14ac:dyDescent="0.2"/>
  <cols>
    <col min="1" max="2" width="3.140625" style="118" customWidth="1"/>
    <col min="3" max="3" width="22.5703125" style="118" customWidth="1"/>
    <col min="4" max="4" width="23.85546875" style="118" customWidth="1"/>
    <col min="5" max="11" width="8.85546875" style="118" customWidth="1"/>
    <col min="12" max="12" width="6.7109375" style="118" customWidth="1"/>
    <col min="13" max="14" width="3.7109375" style="118" customWidth="1"/>
    <col min="15" max="16384" width="8.85546875" style="118" hidden="1"/>
  </cols>
  <sheetData>
    <row r="1" spans="2:13" ht="13.5" thickBot="1" x14ac:dyDescent="0.25"/>
    <row r="2" spans="2:13" ht="34.15" customHeight="1" x14ac:dyDescent="0.2">
      <c r="B2" s="219"/>
      <c r="C2" s="220" t="s">
        <v>132</v>
      </c>
      <c r="D2" s="120"/>
      <c r="E2" s="221"/>
      <c r="F2" s="221"/>
      <c r="G2" s="221"/>
      <c r="H2" s="221"/>
      <c r="I2" s="221"/>
      <c r="J2" s="221"/>
      <c r="K2" s="221"/>
      <c r="L2" s="221"/>
      <c r="M2" s="222"/>
    </row>
    <row r="3" spans="2:13" x14ac:dyDescent="0.2">
      <c r="B3" s="223"/>
      <c r="C3" s="697" t="s">
        <v>505</v>
      </c>
      <c r="D3" s="698"/>
      <c r="E3" s="698"/>
      <c r="F3" s="698"/>
      <c r="G3" s="698"/>
      <c r="H3" s="698"/>
      <c r="I3" s="698"/>
      <c r="J3" s="698"/>
      <c r="K3" s="698"/>
      <c r="L3" s="698"/>
      <c r="M3" s="224"/>
    </row>
    <row r="4" spans="2:13" ht="46.5" customHeight="1" x14ac:dyDescent="0.2">
      <c r="B4" s="223"/>
      <c r="C4" s="698"/>
      <c r="D4" s="698"/>
      <c r="E4" s="698"/>
      <c r="F4" s="698"/>
      <c r="G4" s="698"/>
      <c r="H4" s="698"/>
      <c r="I4" s="698"/>
      <c r="J4" s="698"/>
      <c r="K4" s="698"/>
      <c r="L4" s="698"/>
      <c r="M4" s="224"/>
    </row>
    <row r="5" spans="2:13" ht="21" customHeight="1" x14ac:dyDescent="0.2">
      <c r="B5" s="223"/>
      <c r="C5" s="697" t="s">
        <v>134</v>
      </c>
      <c r="D5" s="698"/>
      <c r="E5" s="698"/>
      <c r="F5" s="698"/>
      <c r="G5" s="698"/>
      <c r="H5" s="698"/>
      <c r="I5" s="698"/>
      <c r="J5" s="698"/>
      <c r="K5" s="698"/>
      <c r="L5" s="698"/>
      <c r="M5" s="224"/>
    </row>
    <row r="6" spans="2:13" ht="24.75" customHeight="1" x14ac:dyDescent="0.2">
      <c r="B6" s="223"/>
      <c r="C6" s="697" t="s">
        <v>130</v>
      </c>
      <c r="D6" s="698"/>
      <c r="E6" s="698"/>
      <c r="F6" s="698"/>
      <c r="G6" s="698"/>
      <c r="H6" s="698"/>
      <c r="I6" s="698"/>
      <c r="J6" s="698"/>
      <c r="K6" s="698"/>
      <c r="L6" s="698"/>
      <c r="M6" s="224"/>
    </row>
    <row r="7" spans="2:13" x14ac:dyDescent="0.2">
      <c r="B7" s="223"/>
      <c r="C7" s="697" t="s">
        <v>135</v>
      </c>
      <c r="D7" s="698"/>
      <c r="E7" s="698"/>
      <c r="F7" s="698"/>
      <c r="G7" s="698"/>
      <c r="H7" s="698"/>
      <c r="I7" s="698"/>
      <c r="J7" s="698"/>
      <c r="K7" s="698"/>
      <c r="L7" s="698"/>
      <c r="M7" s="224"/>
    </row>
    <row r="8" spans="2:13" x14ac:dyDescent="0.2">
      <c r="B8" s="223"/>
      <c r="C8" s="698"/>
      <c r="D8" s="698"/>
      <c r="E8" s="698"/>
      <c r="F8" s="698"/>
      <c r="G8" s="698"/>
      <c r="H8" s="698"/>
      <c r="I8" s="698"/>
      <c r="J8" s="698"/>
      <c r="K8" s="698"/>
      <c r="L8" s="698"/>
      <c r="M8" s="224"/>
    </row>
    <row r="9" spans="2:13" ht="21.75" customHeight="1" x14ac:dyDescent="0.2">
      <c r="B9" s="223"/>
      <c r="C9" s="698"/>
      <c r="D9" s="698"/>
      <c r="E9" s="698"/>
      <c r="F9" s="698"/>
      <c r="G9" s="698"/>
      <c r="H9" s="698"/>
      <c r="I9" s="698"/>
      <c r="J9" s="698"/>
      <c r="K9" s="698"/>
      <c r="L9" s="698"/>
      <c r="M9" s="224"/>
    </row>
    <row r="10" spans="2:13" ht="18" customHeight="1" x14ac:dyDescent="0.2">
      <c r="B10" s="223"/>
      <c r="C10" s="697" t="s">
        <v>136</v>
      </c>
      <c r="D10" s="699"/>
      <c r="E10" s="699"/>
      <c r="F10" s="699"/>
      <c r="G10" s="699"/>
      <c r="H10" s="699"/>
      <c r="I10" s="699"/>
      <c r="J10" s="699"/>
      <c r="K10" s="699"/>
      <c r="L10" s="699"/>
      <c r="M10" s="224"/>
    </row>
    <row r="11" spans="2:13" ht="36.75" customHeight="1" x14ac:dyDescent="0.2">
      <c r="B11" s="223"/>
      <c r="C11" s="697" t="s">
        <v>470</v>
      </c>
      <c r="D11" s="698"/>
      <c r="E11" s="698"/>
      <c r="F11" s="698"/>
      <c r="G11" s="698"/>
      <c r="H11" s="698"/>
      <c r="I11" s="698"/>
      <c r="J11" s="698"/>
      <c r="K11" s="698"/>
      <c r="L11" s="698"/>
      <c r="M11" s="224"/>
    </row>
    <row r="12" spans="2:13" ht="29.25" customHeight="1" x14ac:dyDescent="0.2">
      <c r="B12" s="223"/>
      <c r="C12" s="700" t="s">
        <v>183</v>
      </c>
      <c r="D12" s="701"/>
      <c r="E12" s="701"/>
      <c r="F12" s="701"/>
      <c r="G12" s="701"/>
      <c r="H12" s="701"/>
      <c r="I12" s="701"/>
      <c r="J12" s="701"/>
      <c r="K12" s="701"/>
      <c r="L12" s="701"/>
      <c r="M12" s="224"/>
    </row>
    <row r="13" spans="2:13" ht="29.25" customHeight="1" x14ac:dyDescent="0.2">
      <c r="B13" s="223"/>
      <c r="C13" s="701"/>
      <c r="D13" s="701"/>
      <c r="E13" s="701"/>
      <c r="F13" s="701"/>
      <c r="G13" s="701"/>
      <c r="H13" s="701"/>
      <c r="I13" s="701"/>
      <c r="J13" s="701"/>
      <c r="K13" s="701"/>
      <c r="L13" s="701"/>
      <c r="M13" s="224"/>
    </row>
    <row r="14" spans="2:13" ht="29.25" customHeight="1" x14ac:dyDescent="0.2">
      <c r="B14" s="223"/>
      <c r="C14" s="702" t="s">
        <v>184</v>
      </c>
      <c r="D14" s="703"/>
      <c r="E14" s="703"/>
      <c r="F14" s="703"/>
      <c r="G14" s="703"/>
      <c r="H14" s="703"/>
      <c r="I14" s="703"/>
      <c r="J14" s="703"/>
      <c r="K14" s="703"/>
      <c r="L14" s="703"/>
      <c r="M14" s="224"/>
    </row>
    <row r="15" spans="2:13" ht="6.75" customHeight="1" x14ac:dyDescent="0.2">
      <c r="B15" s="223"/>
      <c r="C15" s="249"/>
      <c r="D15" s="250"/>
      <c r="E15" s="250"/>
      <c r="F15" s="250"/>
      <c r="G15" s="250"/>
      <c r="H15" s="250"/>
      <c r="I15" s="250"/>
      <c r="J15" s="250"/>
      <c r="K15" s="250"/>
      <c r="L15" s="250"/>
      <c r="M15" s="251"/>
    </row>
    <row r="16" spans="2:13" ht="29.25" customHeight="1" x14ac:dyDescent="0.2">
      <c r="B16" s="223"/>
      <c r="C16" s="707" t="s">
        <v>451</v>
      </c>
      <c r="D16" s="707"/>
      <c r="E16" s="707"/>
      <c r="F16" s="707"/>
      <c r="G16" s="707"/>
      <c r="H16" s="707"/>
      <c r="I16" s="707"/>
      <c r="J16" s="707"/>
      <c r="K16" s="707"/>
      <c r="L16" s="707"/>
      <c r="M16" s="224"/>
    </row>
    <row r="17" spans="2:13" ht="6.75" customHeight="1" x14ac:dyDescent="0.2">
      <c r="B17" s="223"/>
      <c r="C17" s="225"/>
      <c r="D17" s="225"/>
      <c r="E17" s="225"/>
      <c r="F17" s="225"/>
      <c r="G17" s="225"/>
      <c r="H17" s="225"/>
      <c r="I17" s="225"/>
      <c r="J17" s="225"/>
      <c r="K17" s="225"/>
      <c r="L17" s="225"/>
      <c r="M17" s="224"/>
    </row>
    <row r="18" spans="2:13" ht="29.25" customHeight="1" x14ac:dyDescent="0.2">
      <c r="B18" s="223"/>
      <c r="C18" s="705" t="s">
        <v>504</v>
      </c>
      <c r="D18" s="706"/>
      <c r="E18" s="706"/>
      <c r="F18" s="706"/>
      <c r="G18" s="706"/>
      <c r="H18" s="706"/>
      <c r="I18" s="706"/>
      <c r="J18" s="706"/>
      <c r="K18" s="706"/>
      <c r="L18" s="706"/>
      <c r="M18" s="224"/>
    </row>
    <row r="19" spans="2:13" ht="13.5" thickBot="1" x14ac:dyDescent="0.25">
      <c r="B19" s="223"/>
      <c r="C19" s="225"/>
      <c r="D19" s="225"/>
      <c r="E19" s="225"/>
      <c r="F19" s="225"/>
      <c r="G19" s="225"/>
      <c r="H19" s="225"/>
      <c r="I19" s="225"/>
      <c r="J19" s="225"/>
      <c r="K19" s="225"/>
      <c r="L19" s="225"/>
      <c r="M19" s="224"/>
    </row>
    <row r="20" spans="2:13" ht="27" customHeight="1" thickBot="1" x14ac:dyDescent="0.3">
      <c r="B20" s="223"/>
      <c r="C20" s="16" t="s">
        <v>117</v>
      </c>
      <c r="D20" s="438">
        <v>40513</v>
      </c>
      <c r="E20" s="704" t="s">
        <v>498</v>
      </c>
      <c r="F20" s="704"/>
      <c r="G20" s="704"/>
      <c r="H20" s="704"/>
      <c r="I20" s="704"/>
      <c r="J20" s="704"/>
      <c r="K20" s="704"/>
      <c r="L20" s="704"/>
      <c r="M20" s="226"/>
    </row>
    <row r="21" spans="2:13" ht="14.25" x14ac:dyDescent="0.2">
      <c r="B21" s="223"/>
      <c r="C21" s="173"/>
      <c r="D21" s="31"/>
      <c r="E21" s="31"/>
      <c r="F21" s="31"/>
      <c r="G21" s="31"/>
      <c r="H21" s="31"/>
      <c r="I21" s="31"/>
      <c r="J21" s="31"/>
      <c r="K21" s="31"/>
      <c r="L21" s="31"/>
      <c r="M21" s="124"/>
    </row>
    <row r="22" spans="2:13" ht="30" x14ac:dyDescent="0.25">
      <c r="B22" s="223"/>
      <c r="C22" s="227" t="s">
        <v>118</v>
      </c>
      <c r="D22" s="690">
        <v>41978</v>
      </c>
      <c r="E22" s="31"/>
      <c r="F22" s="31"/>
      <c r="G22" s="31"/>
      <c r="H22" s="31"/>
      <c r="I22" s="31"/>
      <c r="J22" s="31"/>
      <c r="K22" s="31"/>
      <c r="L22" s="31"/>
      <c r="M22" s="124"/>
    </row>
    <row r="23" spans="2:13" ht="14.25" x14ac:dyDescent="0.2">
      <c r="B23" s="223"/>
      <c r="C23" s="173"/>
      <c r="D23" s="31"/>
      <c r="E23" s="31"/>
      <c r="F23" s="31"/>
      <c r="G23" s="31"/>
      <c r="H23" s="31"/>
      <c r="I23" s="31"/>
      <c r="J23" s="31"/>
      <c r="K23" s="31"/>
      <c r="L23" s="31"/>
      <c r="M23" s="124"/>
    </row>
    <row r="24" spans="2:13" ht="30" x14ac:dyDescent="0.25">
      <c r="B24" s="223"/>
      <c r="C24" s="227" t="s">
        <v>120</v>
      </c>
      <c r="D24" s="253" t="s">
        <v>709</v>
      </c>
      <c r="E24" s="31"/>
      <c r="F24" s="31"/>
      <c r="G24" s="31"/>
      <c r="H24" s="31"/>
      <c r="I24" s="31"/>
      <c r="J24" s="31"/>
      <c r="K24" s="31"/>
      <c r="L24" s="31"/>
      <c r="M24" s="124"/>
    </row>
    <row r="25" spans="2:13" ht="27.75" customHeight="1" x14ac:dyDescent="0.25">
      <c r="B25" s="223"/>
      <c r="C25" s="228" t="s">
        <v>119</v>
      </c>
      <c r="D25" s="254" t="s">
        <v>710</v>
      </c>
      <c r="E25" s="31"/>
      <c r="F25" s="31"/>
      <c r="G25" s="31"/>
      <c r="H25" s="31"/>
      <c r="I25" s="31"/>
      <c r="J25" s="31"/>
      <c r="K25" s="31"/>
      <c r="L25" s="31"/>
      <c r="M25" s="124"/>
    </row>
    <row r="26" spans="2:13" ht="26.25" customHeight="1" x14ac:dyDescent="0.25">
      <c r="B26" s="223"/>
      <c r="C26" s="228" t="s">
        <v>121</v>
      </c>
      <c r="D26" s="464" t="s">
        <v>506</v>
      </c>
      <c r="E26" s="31"/>
      <c r="F26" s="31"/>
      <c r="G26" s="31"/>
      <c r="H26" s="31"/>
      <c r="I26" s="229"/>
      <c r="J26" s="31"/>
      <c r="K26" s="31"/>
      <c r="L26" s="31"/>
      <c r="M26" s="124"/>
    </row>
    <row r="27" spans="2:13" ht="14.25" x14ac:dyDescent="0.2">
      <c r="B27" s="223"/>
      <c r="C27" s="173"/>
      <c r="D27" s="31"/>
      <c r="E27" s="31"/>
      <c r="F27" s="31"/>
      <c r="G27" s="31"/>
      <c r="H27" s="31"/>
      <c r="I27" s="31"/>
      <c r="J27" s="31"/>
      <c r="K27" s="31"/>
      <c r="L27" s="31"/>
      <c r="M27" s="124"/>
    </row>
    <row r="28" spans="2:13" s="210" customFormat="1" ht="33" customHeight="1" x14ac:dyDescent="0.2">
      <c r="B28" s="230"/>
      <c r="C28" s="231" t="s">
        <v>122</v>
      </c>
      <c r="D28" s="229"/>
      <c r="E28" s="229"/>
      <c r="F28" s="229"/>
      <c r="G28" s="229"/>
      <c r="H28" s="229"/>
      <c r="I28" s="229"/>
      <c r="J28" s="229"/>
      <c r="K28" s="229"/>
      <c r="L28" s="229"/>
      <c r="M28" s="209"/>
    </row>
    <row r="29" spans="2:13" ht="30" customHeight="1" x14ac:dyDescent="0.25">
      <c r="B29" s="223"/>
      <c r="C29" s="227" t="s">
        <v>138</v>
      </c>
      <c r="D29" s="252"/>
      <c r="E29" s="695" t="s">
        <v>185</v>
      </c>
      <c r="F29" s="695"/>
      <c r="G29" s="695"/>
      <c r="H29" s="695"/>
      <c r="I29" s="695"/>
      <c r="J29" s="695"/>
      <c r="K29" s="695"/>
      <c r="L29" s="695"/>
      <c r="M29" s="124"/>
    </row>
    <row r="30" spans="2:13" x14ac:dyDescent="0.2">
      <c r="B30" s="223"/>
      <c r="C30" s="31"/>
      <c r="D30" s="203" t="s">
        <v>857</v>
      </c>
      <c r="E30" s="695"/>
      <c r="F30" s="695"/>
      <c r="G30" s="695"/>
      <c r="H30" s="695"/>
      <c r="I30" s="695"/>
      <c r="J30" s="695"/>
      <c r="K30" s="695"/>
      <c r="L30" s="695"/>
      <c r="M30" s="124"/>
    </row>
    <row r="31" spans="2:13" ht="20.25" customHeight="1" x14ac:dyDescent="0.2">
      <c r="B31" s="223"/>
      <c r="C31" s="31"/>
      <c r="D31" s="203" t="s">
        <v>858</v>
      </c>
      <c r="E31" s="695"/>
      <c r="F31" s="695"/>
      <c r="G31" s="695"/>
      <c r="H31" s="695"/>
      <c r="I31" s="695"/>
      <c r="J31" s="695"/>
      <c r="K31" s="695"/>
      <c r="L31" s="695"/>
      <c r="M31" s="124"/>
    </row>
    <row r="32" spans="2:13" ht="33" customHeight="1" thickBot="1" x14ac:dyDescent="0.25">
      <c r="B32" s="232"/>
      <c r="C32" s="184"/>
      <c r="D32" s="691" t="s">
        <v>859</v>
      </c>
      <c r="E32" s="696"/>
      <c r="F32" s="696"/>
      <c r="G32" s="696"/>
      <c r="H32" s="696"/>
      <c r="I32" s="696"/>
      <c r="J32" s="696"/>
      <c r="K32" s="696"/>
      <c r="L32" s="696"/>
      <c r="M32" s="135"/>
    </row>
    <row r="33" x14ac:dyDescent="0.2"/>
  </sheetData>
  <sheetProtection selectLockedCells="1"/>
  <mergeCells count="12">
    <mergeCell ref="E29:L32"/>
    <mergeCell ref="C3:L4"/>
    <mergeCell ref="C5:L5"/>
    <mergeCell ref="C6:L6"/>
    <mergeCell ref="C7:L9"/>
    <mergeCell ref="C10:L10"/>
    <mergeCell ref="C11:L11"/>
    <mergeCell ref="C12:L13"/>
    <mergeCell ref="C14:L14"/>
    <mergeCell ref="E20:L20"/>
    <mergeCell ref="C18:L18"/>
    <mergeCell ref="C16:L16"/>
  </mergeCells>
  <phoneticPr fontId="16" type="noConversion"/>
  <pageMargins left="0.7" right="0.7" top="0.75" bottom="0.75" header="0.3" footer="0.3"/>
  <pageSetup scale="93"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'DOER reference'!A1:A6</xm:f>
          </x14:formula1>
          <xm:sqref>D20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8000"/>
    <pageSetUpPr fitToPage="1"/>
  </sheetPr>
  <dimension ref="A1:V13"/>
  <sheetViews>
    <sheetView showGridLines="0" topLeftCell="F1" zoomScale="85" zoomScaleNormal="85" workbookViewId="0">
      <selection activeCell="R8" sqref="R8"/>
    </sheetView>
  </sheetViews>
  <sheetFormatPr defaultColWidth="0" defaultRowHeight="14.25" zeroHeight="1" x14ac:dyDescent="0.2"/>
  <cols>
    <col min="1" max="1" width="3.5703125" style="137" customWidth="1"/>
    <col min="2" max="2" width="4.5703125" style="137" customWidth="1"/>
    <col min="3" max="3" width="32.140625" style="137" bestFit="1" customWidth="1"/>
    <col min="4" max="4" width="32.140625" style="137" customWidth="1"/>
    <col min="5" max="7" width="21.5703125" style="137" customWidth="1"/>
    <col min="8" max="8" width="16.5703125" style="137" customWidth="1"/>
    <col min="9" max="10" width="14" style="137" customWidth="1"/>
    <col min="11" max="13" width="13.5703125" style="137" customWidth="1"/>
    <col min="14" max="14" width="14.28515625" style="137" customWidth="1"/>
    <col min="15" max="15" width="13.5703125" style="137" customWidth="1"/>
    <col min="16" max="16" width="15.85546875" style="137" customWidth="1"/>
    <col min="17" max="17" width="13.85546875" style="137" customWidth="1"/>
    <col min="18" max="18" width="14.7109375" style="137" customWidth="1"/>
    <col min="19" max="19" width="14.42578125" style="138" customWidth="1"/>
    <col min="20" max="20" width="20.42578125" style="137" customWidth="1"/>
    <col min="21" max="22" width="9.140625" style="137" customWidth="1"/>
    <col min="23" max="16384" width="9.140625" style="137" hidden="1"/>
  </cols>
  <sheetData>
    <row r="1" spans="2:22" ht="15" thickBot="1" x14ac:dyDescent="0.25"/>
    <row r="2" spans="2:22" x14ac:dyDescent="0.2">
      <c r="B2" s="139"/>
      <c r="C2" s="140"/>
      <c r="D2" s="140"/>
      <c r="E2" s="140"/>
      <c r="F2" s="140"/>
      <c r="G2" s="140"/>
      <c r="H2" s="140"/>
      <c r="I2" s="140"/>
      <c r="J2" s="140"/>
      <c r="K2" s="140"/>
      <c r="L2" s="140"/>
      <c r="M2" s="140"/>
      <c r="N2" s="140"/>
      <c r="O2" s="140"/>
      <c r="P2" s="140"/>
      <c r="Q2" s="140"/>
      <c r="R2" s="140"/>
      <c r="S2" s="141"/>
      <c r="T2" s="140"/>
      <c r="U2" s="142"/>
    </row>
    <row r="3" spans="2:22" ht="15.75" thickBot="1" x14ac:dyDescent="0.25">
      <c r="B3" s="143"/>
      <c r="C3" s="794" t="s">
        <v>219</v>
      </c>
      <c r="D3" s="794"/>
      <c r="E3" s="794"/>
      <c r="F3" s="160"/>
      <c r="G3" s="160"/>
      <c r="H3" s="160"/>
      <c r="I3" s="160"/>
      <c r="J3" s="160"/>
      <c r="K3" s="160"/>
      <c r="L3" s="160"/>
      <c r="M3" s="160"/>
      <c r="N3" s="160"/>
      <c r="O3" s="160"/>
      <c r="P3" s="160"/>
      <c r="Q3" s="160"/>
      <c r="R3" s="160"/>
      <c r="S3" s="160"/>
      <c r="T3" s="160"/>
      <c r="U3" s="144"/>
    </row>
    <row r="4" spans="2:22" s="147" customFormat="1" ht="28.5" customHeight="1" thickBot="1" x14ac:dyDescent="0.3">
      <c r="B4" s="145"/>
      <c r="C4" s="805" t="s">
        <v>34</v>
      </c>
      <c r="D4" s="715"/>
      <c r="E4" s="806"/>
      <c r="F4" s="214"/>
      <c r="G4" s="761" t="s">
        <v>36</v>
      </c>
      <c r="H4" s="762"/>
      <c r="I4" s="758" t="s">
        <v>7</v>
      </c>
      <c r="J4" s="759"/>
      <c r="K4" s="759"/>
      <c r="L4" s="759"/>
      <c r="M4" s="759"/>
      <c r="N4" s="764" t="s">
        <v>13</v>
      </c>
      <c r="O4" s="795"/>
      <c r="P4" s="795"/>
      <c r="Q4" s="795"/>
      <c r="R4" s="796"/>
      <c r="S4" s="797" t="s">
        <v>14</v>
      </c>
      <c r="T4" s="798"/>
      <c r="U4" s="146"/>
    </row>
    <row r="5" spans="2:22" s="158" customFormat="1" ht="108" customHeight="1" thickBot="1" x14ac:dyDescent="0.25">
      <c r="B5" s="148"/>
      <c r="C5" s="316" t="s">
        <v>68</v>
      </c>
      <c r="D5" s="400" t="s">
        <v>471</v>
      </c>
      <c r="E5" s="149" t="s">
        <v>218</v>
      </c>
      <c r="F5" s="401" t="s">
        <v>472</v>
      </c>
      <c r="G5" s="150" t="s">
        <v>211</v>
      </c>
      <c r="H5" s="151" t="s">
        <v>212</v>
      </c>
      <c r="I5" s="151" t="s">
        <v>69</v>
      </c>
      <c r="J5" s="152" t="s">
        <v>70</v>
      </c>
      <c r="K5" s="152" t="s">
        <v>71</v>
      </c>
      <c r="L5" s="152" t="s">
        <v>72</v>
      </c>
      <c r="M5" s="153" t="s">
        <v>74</v>
      </c>
      <c r="N5" s="150" t="s">
        <v>12</v>
      </c>
      <c r="O5" s="152" t="s">
        <v>8</v>
      </c>
      <c r="P5" s="152" t="s">
        <v>9</v>
      </c>
      <c r="Q5" s="152" t="s">
        <v>73</v>
      </c>
      <c r="R5" s="154" t="s">
        <v>11</v>
      </c>
      <c r="S5" s="155" t="s">
        <v>15</v>
      </c>
      <c r="T5" s="156" t="s">
        <v>1</v>
      </c>
      <c r="U5" s="157"/>
    </row>
    <row r="6" spans="2:22" ht="43.5" thickBot="1" x14ac:dyDescent="0.25">
      <c r="B6" s="143"/>
      <c r="C6" s="397" t="s">
        <v>452</v>
      </c>
      <c r="D6" s="392"/>
      <c r="E6" s="329"/>
      <c r="F6" s="393"/>
      <c r="G6" s="393"/>
      <c r="H6" s="394"/>
      <c r="I6" s="330"/>
      <c r="J6" s="331"/>
      <c r="K6" s="331"/>
      <c r="L6" s="331"/>
      <c r="M6" s="389"/>
      <c r="N6" s="390"/>
      <c r="O6" s="332"/>
      <c r="P6" s="332"/>
      <c r="Q6" s="332"/>
      <c r="R6" s="333"/>
      <c r="S6" s="395"/>
      <c r="T6" s="396"/>
      <c r="U6" s="144"/>
    </row>
    <row r="7" spans="2:22" ht="86.25" thickBot="1" x14ac:dyDescent="0.25">
      <c r="B7" s="143"/>
      <c r="C7" s="471" t="s">
        <v>515</v>
      </c>
      <c r="D7" s="398"/>
      <c r="E7" s="399"/>
      <c r="F7" s="467" t="s">
        <v>516</v>
      </c>
      <c r="G7" s="472" t="s">
        <v>255</v>
      </c>
      <c r="H7" s="491">
        <v>41244</v>
      </c>
      <c r="I7" s="469" t="s">
        <v>517</v>
      </c>
      <c r="J7" s="470">
        <f>4.3*1150</f>
        <v>4945</v>
      </c>
      <c r="K7" s="473" t="s">
        <v>175</v>
      </c>
      <c r="L7" s="473" t="s">
        <v>175</v>
      </c>
      <c r="M7" s="474" t="s">
        <v>175</v>
      </c>
      <c r="N7" s="475">
        <f>J7*0.15</f>
        <v>741.75</v>
      </c>
      <c r="O7" s="468">
        <v>40707</v>
      </c>
      <c r="P7" s="476" t="s">
        <v>175</v>
      </c>
      <c r="Q7" s="468" t="s">
        <v>518</v>
      </c>
      <c r="R7" s="477">
        <v>0</v>
      </c>
      <c r="S7" s="478" t="s">
        <v>519</v>
      </c>
      <c r="T7" s="479" t="s">
        <v>520</v>
      </c>
      <c r="U7" s="480"/>
      <c r="V7" s="144"/>
    </row>
    <row r="8" spans="2:22" ht="41.25" customHeight="1" thickBot="1" x14ac:dyDescent="0.3">
      <c r="B8" s="143"/>
      <c r="C8" s="799" t="s">
        <v>6</v>
      </c>
      <c r="D8" s="800"/>
      <c r="E8" s="801"/>
      <c r="F8" s="335"/>
      <c r="G8" s="335"/>
      <c r="H8" s="335"/>
      <c r="I8" s="336"/>
      <c r="J8" s="337">
        <f t="shared" ref="J8:R8" si="0">SUM(J6:J7)</f>
        <v>4945</v>
      </c>
      <c r="K8" s="337">
        <f t="shared" si="0"/>
        <v>0</v>
      </c>
      <c r="L8" s="337">
        <f t="shared" si="0"/>
        <v>0</v>
      </c>
      <c r="M8" s="337">
        <f t="shared" si="0"/>
        <v>0</v>
      </c>
      <c r="N8" s="337">
        <f t="shared" si="0"/>
        <v>741.75</v>
      </c>
      <c r="O8" s="337">
        <f t="shared" si="0"/>
        <v>40707</v>
      </c>
      <c r="P8" s="337">
        <f t="shared" si="0"/>
        <v>0</v>
      </c>
      <c r="Q8" s="337">
        <f t="shared" si="0"/>
        <v>0</v>
      </c>
      <c r="R8" s="391">
        <f t="shared" si="0"/>
        <v>0</v>
      </c>
      <c r="S8" s="159"/>
      <c r="T8" s="160"/>
      <c r="U8" s="144"/>
    </row>
    <row r="9" spans="2:22" ht="34.5" customHeight="1" thickBot="1" x14ac:dyDescent="0.3">
      <c r="B9" s="143"/>
      <c r="C9" s="802" t="s">
        <v>75</v>
      </c>
      <c r="D9" s="803"/>
      <c r="E9" s="804"/>
      <c r="F9" s="388"/>
      <c r="G9" s="388"/>
      <c r="H9" s="291">
        <f>SUM(I9:M9)</f>
        <v>16.872340000000001</v>
      </c>
      <c r="I9" s="292"/>
      <c r="J9" s="293">
        <f>J8*0.003412</f>
        <v>16.872340000000001</v>
      </c>
      <c r="K9" s="293"/>
      <c r="L9" s="293"/>
      <c r="M9" s="294"/>
      <c r="N9" s="161"/>
      <c r="O9" s="160"/>
      <c r="P9" s="160"/>
      <c r="Q9" s="160"/>
      <c r="R9" s="160"/>
      <c r="S9" s="162"/>
      <c r="T9" s="160"/>
      <c r="U9" s="144"/>
    </row>
    <row r="10" spans="2:22" ht="15" thickBot="1" x14ac:dyDescent="0.25">
      <c r="B10" s="163"/>
      <c r="C10" s="164"/>
      <c r="D10" s="164"/>
      <c r="E10" s="164"/>
      <c r="F10" s="164"/>
      <c r="G10" s="164"/>
      <c r="H10" s="164"/>
      <c r="I10" s="164"/>
      <c r="J10" s="164"/>
      <c r="K10" s="164"/>
      <c r="L10" s="164"/>
      <c r="M10" s="164"/>
      <c r="N10" s="164"/>
      <c r="O10" s="164"/>
      <c r="P10" s="164"/>
      <c r="Q10" s="164"/>
      <c r="R10" s="164"/>
      <c r="S10" s="165"/>
      <c r="T10" s="164"/>
      <c r="U10" s="166"/>
    </row>
    <row r="11" spans="2:22" x14ac:dyDescent="0.2"/>
    <row r="12" spans="2:22" x14ac:dyDescent="0.2"/>
    <row r="13" spans="2:22" x14ac:dyDescent="0.2"/>
  </sheetData>
  <mergeCells count="8">
    <mergeCell ref="C3:E3"/>
    <mergeCell ref="N4:R4"/>
    <mergeCell ref="S4:T4"/>
    <mergeCell ref="C8:E8"/>
    <mergeCell ref="C9:E9"/>
    <mergeCell ref="C4:E4"/>
    <mergeCell ref="I4:M4"/>
    <mergeCell ref="G4:H4"/>
  </mergeCells>
  <phoneticPr fontId="16" type="noConversion"/>
  <dataValidations count="1">
    <dataValidation type="list" allowBlank="1" showInputMessage="1" showErrorMessage="1" sqref="G6:G7">
      <formula1>ECMstatus</formula1>
    </dataValidation>
  </dataValidations>
  <pageMargins left="0.75" right="0.75" top="1" bottom="1" header="0.5" footer="0.5"/>
  <pageSetup scale="50" orientation="landscape"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39"/>
  <sheetViews>
    <sheetView showGridLines="0" topLeftCell="A16" zoomScale="85" zoomScaleNormal="85" workbookViewId="0">
      <selection activeCell="C31" sqref="C31:K31"/>
    </sheetView>
  </sheetViews>
  <sheetFormatPr defaultColWidth="0" defaultRowHeight="12.75" zeroHeight="1" x14ac:dyDescent="0.2"/>
  <cols>
    <col min="1" max="2" width="3.140625" style="48" customWidth="1"/>
    <col min="3" max="3" width="22.28515625" style="48" customWidth="1"/>
    <col min="4" max="4" width="14.5703125" style="48" customWidth="1"/>
    <col min="5" max="5" width="11.42578125" style="48" customWidth="1"/>
    <col min="6" max="6" width="14" style="48" customWidth="1"/>
    <col min="7" max="7" width="14.7109375" style="48" customWidth="1"/>
    <col min="8" max="8" width="12.5703125" style="48" customWidth="1"/>
    <col min="9" max="9" width="14" style="48" customWidth="1"/>
    <col min="10" max="10" width="12.85546875" style="48" customWidth="1"/>
    <col min="11" max="11" width="17.7109375" style="48" customWidth="1"/>
    <col min="12" max="12" width="6.85546875" style="48" customWidth="1"/>
    <col min="13" max="13" width="3.28515625" style="48" customWidth="1"/>
    <col min="14" max="16384" width="9.140625" style="48" hidden="1"/>
  </cols>
  <sheetData>
    <row r="1" spans="2:12" ht="13.5" thickBot="1" x14ac:dyDescent="0.25"/>
    <row r="2" spans="2:12" x14ac:dyDescent="0.2">
      <c r="B2" s="36"/>
      <c r="C2" s="38"/>
      <c r="D2" s="38"/>
      <c r="E2" s="38"/>
      <c r="F2" s="38"/>
      <c r="G2" s="38"/>
      <c r="H2" s="38"/>
      <c r="I2" s="38"/>
      <c r="J2" s="38"/>
      <c r="K2" s="38"/>
      <c r="L2" s="39"/>
    </row>
    <row r="3" spans="2:12" x14ac:dyDescent="0.2">
      <c r="B3" s="40"/>
      <c r="C3" s="8" t="s">
        <v>188</v>
      </c>
      <c r="D3" s="41"/>
      <c r="E3" s="41"/>
      <c r="F3" s="41"/>
      <c r="G3" s="41"/>
      <c r="H3" s="41"/>
      <c r="I3" s="41"/>
      <c r="J3" s="41"/>
      <c r="K3" s="41"/>
      <c r="L3" s="42"/>
    </row>
    <row r="4" spans="2:12" x14ac:dyDescent="0.2">
      <c r="B4" s="40"/>
      <c r="C4" s="41"/>
      <c r="D4" s="41"/>
      <c r="E4" s="41"/>
      <c r="F4" s="41"/>
      <c r="G4" s="41"/>
      <c r="H4" s="41"/>
      <c r="I4" s="41"/>
      <c r="J4" s="41"/>
      <c r="K4" s="41"/>
      <c r="L4" s="42"/>
    </row>
    <row r="5" spans="2:12" x14ac:dyDescent="0.2">
      <c r="B5" s="40"/>
      <c r="C5" s="807" t="s">
        <v>187</v>
      </c>
      <c r="D5" s="808"/>
      <c r="E5" s="808"/>
      <c r="F5" s="808"/>
      <c r="G5" s="808"/>
      <c r="H5" s="808"/>
      <c r="I5" s="808"/>
      <c r="J5" s="808"/>
      <c r="K5" s="808"/>
      <c r="L5" s="42"/>
    </row>
    <row r="6" spans="2:12" x14ac:dyDescent="0.2">
      <c r="B6" s="40"/>
      <c r="C6" s="808"/>
      <c r="D6" s="808"/>
      <c r="E6" s="808"/>
      <c r="F6" s="808"/>
      <c r="G6" s="808"/>
      <c r="H6" s="808"/>
      <c r="I6" s="808"/>
      <c r="J6" s="808"/>
      <c r="K6" s="808"/>
      <c r="L6" s="42"/>
    </row>
    <row r="7" spans="2:12" ht="16.5" thickBot="1" x14ac:dyDescent="0.3">
      <c r="B7" s="40"/>
      <c r="C7" s="481" t="s">
        <v>706</v>
      </c>
      <c r="D7" s="482"/>
      <c r="E7" s="482"/>
      <c r="F7" s="482"/>
      <c r="G7" s="483"/>
      <c r="H7" s="41"/>
      <c r="I7" s="41"/>
      <c r="J7" s="41"/>
      <c r="K7" s="41"/>
      <c r="L7" s="42"/>
    </row>
    <row r="8" spans="2:12" ht="37.5" customHeight="1" thickBot="1" x14ac:dyDescent="0.25">
      <c r="B8" s="40"/>
      <c r="C8" s="816" t="s">
        <v>477</v>
      </c>
      <c r="D8" s="816"/>
      <c r="E8" s="816"/>
      <c r="F8" s="816"/>
      <c r="G8" s="816"/>
      <c r="H8" s="816"/>
      <c r="I8" s="816"/>
      <c r="J8" s="402"/>
      <c r="K8" s="403" t="s">
        <v>268</v>
      </c>
      <c r="L8" s="42"/>
    </row>
    <row r="9" spans="2:12" ht="13.5" thickBot="1" x14ac:dyDescent="0.25">
      <c r="B9" s="40"/>
      <c r="C9" s="427"/>
      <c r="D9" s="427"/>
      <c r="E9" s="427"/>
      <c r="F9" s="427"/>
      <c r="G9" s="427"/>
      <c r="H9" s="427"/>
      <c r="I9" s="427"/>
      <c r="J9" s="427"/>
      <c r="K9" s="427"/>
      <c r="L9" s="42"/>
    </row>
    <row r="10" spans="2:12" ht="37.5" customHeight="1" thickBot="1" x14ac:dyDescent="0.25">
      <c r="B10" s="40"/>
      <c r="C10" s="815" t="s">
        <v>473</v>
      </c>
      <c r="D10" s="815"/>
      <c r="E10" s="815"/>
      <c r="F10" s="815"/>
      <c r="G10" s="815"/>
      <c r="H10" s="815"/>
      <c r="I10" s="815"/>
      <c r="J10" s="402"/>
      <c r="K10" s="403" t="s">
        <v>268</v>
      </c>
      <c r="L10" s="42"/>
    </row>
    <row r="11" spans="2:12" ht="13.5" thickBot="1" x14ac:dyDescent="0.25">
      <c r="B11" s="40"/>
      <c r="C11" s="427"/>
      <c r="D11" s="427"/>
      <c r="E11" s="427"/>
      <c r="F11" s="427"/>
      <c r="G11" s="427"/>
      <c r="H11" s="427"/>
      <c r="I11" s="427"/>
      <c r="J11" s="427"/>
      <c r="K11" s="427"/>
      <c r="L11" s="42"/>
    </row>
    <row r="12" spans="2:12" ht="37.5" customHeight="1" thickBot="1" x14ac:dyDescent="0.25">
      <c r="B12" s="40"/>
      <c r="C12" s="815" t="s">
        <v>474</v>
      </c>
      <c r="D12" s="815"/>
      <c r="E12" s="815"/>
      <c r="F12" s="815"/>
      <c r="G12" s="815"/>
      <c r="H12" s="815"/>
      <c r="I12" s="815"/>
      <c r="J12" s="402"/>
      <c r="K12" s="403" t="s">
        <v>268</v>
      </c>
      <c r="L12" s="42"/>
    </row>
    <row r="13" spans="2:12" ht="13.5" thickBot="1" x14ac:dyDescent="0.25">
      <c r="B13" s="40"/>
      <c r="C13" s="427"/>
      <c r="D13" s="427"/>
      <c r="E13" s="427"/>
      <c r="F13" s="427"/>
      <c r="G13" s="427"/>
      <c r="H13" s="427"/>
      <c r="I13" s="427"/>
      <c r="J13" s="427"/>
      <c r="K13" s="427"/>
      <c r="L13" s="42"/>
    </row>
    <row r="14" spans="2:12" ht="37.5" customHeight="1" thickBot="1" x14ac:dyDescent="0.25">
      <c r="B14" s="40"/>
      <c r="C14" s="815" t="s">
        <v>475</v>
      </c>
      <c r="D14" s="815"/>
      <c r="E14" s="815"/>
      <c r="F14" s="815"/>
      <c r="G14" s="815"/>
      <c r="H14" s="815"/>
      <c r="I14" s="815"/>
      <c r="J14" s="402"/>
      <c r="K14" s="403" t="s">
        <v>268</v>
      </c>
      <c r="L14" s="42"/>
    </row>
    <row r="15" spans="2:12" ht="13.5" thickBot="1" x14ac:dyDescent="0.25">
      <c r="B15" s="40"/>
      <c r="C15" s="427"/>
      <c r="D15" s="427"/>
      <c r="E15" s="427"/>
      <c r="F15" s="427"/>
      <c r="G15" s="427"/>
      <c r="H15" s="427"/>
      <c r="I15" s="427"/>
      <c r="J15" s="427"/>
      <c r="K15" s="427"/>
      <c r="L15" s="42"/>
    </row>
    <row r="16" spans="2:12" ht="37.5" customHeight="1" thickBot="1" x14ac:dyDescent="0.25">
      <c r="B16" s="40"/>
      <c r="C16" s="815" t="s">
        <v>476</v>
      </c>
      <c r="D16" s="815"/>
      <c r="E16" s="815"/>
      <c r="F16" s="815"/>
      <c r="G16" s="815"/>
      <c r="H16" s="815"/>
      <c r="I16" s="815"/>
      <c r="J16" s="402"/>
      <c r="K16" s="403" t="s">
        <v>268</v>
      </c>
      <c r="L16" s="42"/>
    </row>
    <row r="17" spans="2:12" x14ac:dyDescent="0.2">
      <c r="B17" s="40"/>
      <c r="C17" s="427"/>
      <c r="D17" s="427"/>
      <c r="E17" s="427"/>
      <c r="F17" s="427"/>
      <c r="G17" s="427"/>
      <c r="H17" s="427"/>
      <c r="I17" s="427"/>
      <c r="J17" s="427"/>
      <c r="K17" s="427"/>
      <c r="L17" s="42"/>
    </row>
    <row r="18" spans="2:12" ht="12.75" customHeight="1" x14ac:dyDescent="0.2">
      <c r="B18" s="40"/>
      <c r="C18" s="817" t="s">
        <v>500</v>
      </c>
      <c r="D18" s="807"/>
      <c r="E18" s="807"/>
      <c r="F18" s="807"/>
      <c r="G18" s="807"/>
      <c r="H18" s="807"/>
      <c r="I18" s="807"/>
      <c r="J18" s="807"/>
      <c r="K18" s="807"/>
      <c r="L18" s="42"/>
    </row>
    <row r="19" spans="2:12" ht="18" customHeight="1" thickBot="1" x14ac:dyDescent="0.25">
      <c r="B19" s="40"/>
      <c r="C19" s="807"/>
      <c r="D19" s="807"/>
      <c r="E19" s="807"/>
      <c r="F19" s="807"/>
      <c r="G19" s="807"/>
      <c r="H19" s="807"/>
      <c r="I19" s="807"/>
      <c r="J19" s="807"/>
      <c r="K19" s="807"/>
      <c r="L19" s="42"/>
    </row>
    <row r="20" spans="2:12" ht="65.25" customHeight="1" thickBot="1" x14ac:dyDescent="0.25">
      <c r="B20" s="40"/>
      <c r="C20" s="818" t="s">
        <v>868</v>
      </c>
      <c r="D20" s="819"/>
      <c r="E20" s="819"/>
      <c r="F20" s="819"/>
      <c r="G20" s="819"/>
      <c r="H20" s="819"/>
      <c r="I20" s="819"/>
      <c r="J20" s="819"/>
      <c r="K20" s="820"/>
      <c r="L20" s="42"/>
    </row>
    <row r="21" spans="2:12" x14ac:dyDescent="0.2">
      <c r="B21" s="40"/>
      <c r="C21" s="41"/>
      <c r="D21" s="41"/>
      <c r="E21" s="41"/>
      <c r="F21" s="41"/>
      <c r="G21" s="41"/>
      <c r="H21" s="41"/>
      <c r="I21" s="41"/>
      <c r="J21" s="41"/>
      <c r="K21" s="41"/>
      <c r="L21" s="42"/>
    </row>
    <row r="22" spans="2:12" ht="12.75" customHeight="1" x14ac:dyDescent="0.2">
      <c r="B22" s="40"/>
      <c r="C22" s="807" t="s">
        <v>480</v>
      </c>
      <c r="D22" s="807"/>
      <c r="E22" s="807"/>
      <c r="F22" s="807"/>
      <c r="G22" s="807"/>
      <c r="H22" s="807"/>
      <c r="I22" s="807"/>
      <c r="J22" s="807"/>
      <c r="K22" s="807"/>
      <c r="L22" s="42"/>
    </row>
    <row r="23" spans="2:12" ht="18" customHeight="1" thickBot="1" x14ac:dyDescent="0.25">
      <c r="B23" s="40"/>
      <c r="C23" s="807"/>
      <c r="D23" s="807"/>
      <c r="E23" s="807"/>
      <c r="F23" s="807"/>
      <c r="G23" s="807"/>
      <c r="H23" s="807"/>
      <c r="I23" s="807"/>
      <c r="J23" s="807"/>
      <c r="K23" s="807"/>
      <c r="L23" s="42"/>
    </row>
    <row r="24" spans="2:12" ht="65.25" customHeight="1" thickBot="1" x14ac:dyDescent="0.25">
      <c r="B24" s="40"/>
      <c r="C24" s="812" t="s">
        <v>139</v>
      </c>
      <c r="D24" s="813"/>
      <c r="E24" s="813"/>
      <c r="F24" s="813"/>
      <c r="G24" s="813"/>
      <c r="H24" s="813"/>
      <c r="I24" s="813"/>
      <c r="J24" s="813"/>
      <c r="K24" s="814"/>
      <c r="L24" s="42"/>
    </row>
    <row r="25" spans="2:12" ht="18" customHeight="1" x14ac:dyDescent="0.2">
      <c r="B25" s="40"/>
      <c r="C25" s="436"/>
      <c r="D25" s="436"/>
      <c r="E25" s="436"/>
      <c r="F25" s="436"/>
      <c r="G25" s="436"/>
      <c r="H25" s="436"/>
      <c r="I25" s="436"/>
      <c r="J25" s="436"/>
      <c r="K25" s="436"/>
      <c r="L25" s="42"/>
    </row>
    <row r="26" spans="2:12" ht="18" customHeight="1" thickBot="1" x14ac:dyDescent="0.25">
      <c r="B26" s="40"/>
      <c r="C26" s="821" t="s">
        <v>481</v>
      </c>
      <c r="D26" s="821"/>
      <c r="E26" s="821"/>
      <c r="F26" s="821"/>
      <c r="G26" s="821"/>
      <c r="H26" s="821"/>
      <c r="I26" s="821"/>
      <c r="J26" s="821"/>
      <c r="K26" s="821"/>
      <c r="L26" s="42"/>
    </row>
    <row r="27" spans="2:12" ht="65.25" customHeight="1" thickBot="1" x14ac:dyDescent="0.25">
      <c r="B27" s="40"/>
      <c r="C27" s="818" t="s">
        <v>139</v>
      </c>
      <c r="D27" s="819"/>
      <c r="E27" s="819"/>
      <c r="F27" s="819"/>
      <c r="G27" s="819"/>
      <c r="H27" s="819"/>
      <c r="I27" s="819"/>
      <c r="J27" s="819"/>
      <c r="K27" s="820"/>
      <c r="L27" s="42"/>
    </row>
    <row r="28" spans="2:12" ht="13.5" thickBot="1" x14ac:dyDescent="0.25">
      <c r="B28" s="40"/>
      <c r="C28" s="41"/>
      <c r="D28" s="41"/>
      <c r="E28" s="41"/>
      <c r="F28" s="41"/>
      <c r="G28" s="41"/>
      <c r="H28" s="41"/>
      <c r="I28" s="41"/>
      <c r="J28" s="41"/>
      <c r="K28" s="41"/>
      <c r="L28" s="42"/>
    </row>
    <row r="29" spans="2:12" ht="37.5" customHeight="1" thickBot="1" x14ac:dyDescent="0.25">
      <c r="B29" s="40"/>
      <c r="C29" s="815" t="s">
        <v>464</v>
      </c>
      <c r="D29" s="815"/>
      <c r="E29" s="815"/>
      <c r="F29" s="815"/>
      <c r="G29" s="815"/>
      <c r="H29" s="815"/>
      <c r="I29" s="815"/>
      <c r="J29" s="402"/>
      <c r="K29" s="403" t="s">
        <v>267</v>
      </c>
      <c r="L29" s="42"/>
    </row>
    <row r="30" spans="2:12" x14ac:dyDescent="0.2">
      <c r="B30" s="40"/>
      <c r="C30" s="82"/>
      <c r="D30" s="82"/>
      <c r="E30" s="82"/>
      <c r="F30" s="82"/>
      <c r="G30" s="82"/>
      <c r="H30" s="82"/>
      <c r="I30" s="82"/>
      <c r="J30" s="82"/>
      <c r="K30" s="82"/>
      <c r="L30" s="42"/>
    </row>
    <row r="31" spans="2:12" ht="82.15" customHeight="1" x14ac:dyDescent="0.2">
      <c r="B31" s="40"/>
      <c r="C31" s="809" t="s">
        <v>501</v>
      </c>
      <c r="D31" s="810"/>
      <c r="E31" s="810"/>
      <c r="F31" s="810"/>
      <c r="G31" s="810"/>
      <c r="H31" s="810"/>
      <c r="I31" s="810"/>
      <c r="J31" s="810"/>
      <c r="K31" s="810"/>
      <c r="L31" s="42"/>
    </row>
    <row r="32" spans="2:12" ht="13.5" thickBot="1" x14ac:dyDescent="0.25">
      <c r="B32" s="45"/>
      <c r="C32" s="811"/>
      <c r="D32" s="811"/>
      <c r="E32" s="811"/>
      <c r="F32" s="811"/>
      <c r="G32" s="811"/>
      <c r="H32" s="811"/>
      <c r="I32" s="811"/>
      <c r="J32" s="811"/>
      <c r="K32" s="811"/>
      <c r="L32" s="47"/>
    </row>
    <row r="33" x14ac:dyDescent="0.2"/>
    <row r="34" x14ac:dyDescent="0.2"/>
    <row r="35" x14ac:dyDescent="0.2"/>
    <row r="36" x14ac:dyDescent="0.2"/>
    <row r="37" x14ac:dyDescent="0.2"/>
    <row r="38" x14ac:dyDescent="0.2"/>
    <row r="39" x14ac:dyDescent="0.2"/>
  </sheetData>
  <mergeCells count="15">
    <mergeCell ref="C5:K6"/>
    <mergeCell ref="C31:K31"/>
    <mergeCell ref="C32:K32"/>
    <mergeCell ref="C22:K23"/>
    <mergeCell ref="C24:K24"/>
    <mergeCell ref="C29:I29"/>
    <mergeCell ref="C8:I8"/>
    <mergeCell ref="C10:I10"/>
    <mergeCell ref="C12:I12"/>
    <mergeCell ref="C14:I14"/>
    <mergeCell ref="C16:I16"/>
    <mergeCell ref="C18:K19"/>
    <mergeCell ref="C20:K20"/>
    <mergeCell ref="C27:K27"/>
    <mergeCell ref="C26:K26"/>
  </mergeCells>
  <phoneticPr fontId="0" type="noConversion"/>
  <dataValidations count="1">
    <dataValidation type="list" allowBlank="1" showInputMessage="1" showErrorMessage="1" sqref="K29 K8 K10 K12 K14 K16">
      <formula1>ListYN</formula1>
    </dataValidation>
  </dataValidations>
  <pageMargins left="0.75" right="0.75" top="1" bottom="1" header="0.5" footer="0.5"/>
  <pageSetup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8000"/>
    <pageSetUpPr fitToPage="1"/>
  </sheetPr>
  <dimension ref="A1:R127"/>
  <sheetViews>
    <sheetView showGridLines="0" topLeftCell="A22" zoomScale="70" zoomScaleNormal="70" workbookViewId="0">
      <selection activeCell="A5" sqref="A5:R5"/>
    </sheetView>
  </sheetViews>
  <sheetFormatPr defaultRowHeight="12.75" zeroHeight="1" x14ac:dyDescent="0.2"/>
  <cols>
    <col min="1" max="1" width="22.28515625" style="23" customWidth="1"/>
    <col min="2" max="2" width="14.5703125" style="23" customWidth="1"/>
    <col min="3" max="3" width="11.42578125" style="23" hidden="1" customWidth="1"/>
    <col min="4" max="5" width="14.7109375" style="23" customWidth="1"/>
    <col min="6" max="6" width="12.5703125" style="23" customWidth="1"/>
    <col min="7" max="7" width="14" style="23" customWidth="1"/>
    <col min="8" max="8" width="12.85546875" style="23" customWidth="1"/>
    <col min="9" max="9" width="15.140625" style="23" customWidth="1"/>
    <col min="10" max="10" width="14.140625" style="23" customWidth="1"/>
    <col min="11" max="13" width="9.140625" style="23"/>
    <col min="14" max="14" width="12.42578125" style="23" customWidth="1"/>
    <col min="15" max="15" width="13.140625" style="23" customWidth="1"/>
    <col min="16" max="16384" width="9.140625" style="23"/>
  </cols>
  <sheetData>
    <row r="1" spans="1:18" ht="15.75" thickBot="1" x14ac:dyDescent="0.3">
      <c r="A1" s="864" t="s">
        <v>521</v>
      </c>
      <c r="B1" s="865"/>
      <c r="C1" s="865"/>
      <c r="D1" s="865"/>
      <c r="E1" s="865"/>
      <c r="F1" s="865"/>
      <c r="G1" s="865"/>
      <c r="H1" s="865"/>
      <c r="I1" s="865"/>
      <c r="J1" s="865"/>
      <c r="K1" s="865"/>
      <c r="L1" s="865"/>
      <c r="M1" s="865"/>
      <c r="N1" s="865"/>
      <c r="O1" s="866"/>
      <c r="P1" s="489"/>
      <c r="Q1" s="489"/>
      <c r="R1" s="489"/>
    </row>
    <row r="2" spans="1:18" ht="76.5" x14ac:dyDescent="0.2">
      <c r="A2" s="484" t="s">
        <v>522</v>
      </c>
      <c r="B2" s="484" t="s">
        <v>96</v>
      </c>
      <c r="C2" s="485" t="s">
        <v>523</v>
      </c>
      <c r="D2" s="485" t="s">
        <v>524</v>
      </c>
      <c r="E2" s="484" t="s">
        <v>525</v>
      </c>
      <c r="F2" s="484" t="s">
        <v>526</v>
      </c>
      <c r="G2" s="484" t="s">
        <v>527</v>
      </c>
      <c r="H2" s="484" t="s">
        <v>528</v>
      </c>
      <c r="I2" s="484" t="s">
        <v>529</v>
      </c>
      <c r="J2" s="484" t="s">
        <v>530</v>
      </c>
      <c r="K2" s="484" t="s">
        <v>531</v>
      </c>
      <c r="L2" s="484" t="s">
        <v>532</v>
      </c>
      <c r="M2" s="484" t="s">
        <v>533</v>
      </c>
      <c r="N2" s="484" t="s">
        <v>534</v>
      </c>
      <c r="O2" s="484" t="s">
        <v>535</v>
      </c>
      <c r="P2" s="407" t="s">
        <v>463</v>
      </c>
      <c r="Q2" s="407" t="s">
        <v>198</v>
      </c>
      <c r="R2" s="408" t="s">
        <v>449</v>
      </c>
    </row>
    <row r="3" spans="1:18" ht="47.25" customHeight="1" x14ac:dyDescent="0.2">
      <c r="A3" s="832" t="s">
        <v>536</v>
      </c>
      <c r="B3" s="833"/>
      <c r="C3" s="833"/>
      <c r="D3" s="833"/>
      <c r="E3" s="833"/>
      <c r="F3" s="833"/>
      <c r="G3" s="833"/>
      <c r="H3" s="833"/>
      <c r="I3" s="833"/>
      <c r="J3" s="833"/>
      <c r="K3" s="833"/>
      <c r="L3" s="833"/>
      <c r="M3" s="833"/>
      <c r="N3" s="833"/>
      <c r="O3" s="833"/>
      <c r="P3" s="833"/>
      <c r="Q3" s="833"/>
      <c r="R3" s="833"/>
    </row>
    <row r="4" spans="1:18" ht="47.25" customHeight="1" x14ac:dyDescent="0.2">
      <c r="A4" s="497" t="s">
        <v>546</v>
      </c>
      <c r="B4" s="497" t="s">
        <v>547</v>
      </c>
      <c r="C4" s="497" t="s">
        <v>128</v>
      </c>
      <c r="D4" s="509" t="s">
        <v>129</v>
      </c>
      <c r="E4" s="497" t="s">
        <v>548</v>
      </c>
      <c r="F4" s="497" t="s">
        <v>549</v>
      </c>
      <c r="G4" s="497" t="s">
        <v>550</v>
      </c>
      <c r="H4" s="497">
        <v>2008</v>
      </c>
      <c r="I4" s="509" t="s">
        <v>444</v>
      </c>
      <c r="J4" s="509">
        <v>18</v>
      </c>
      <c r="K4" s="509" t="s">
        <v>711</v>
      </c>
      <c r="L4" s="511" t="s">
        <v>712</v>
      </c>
      <c r="M4" s="497" t="s">
        <v>713</v>
      </c>
      <c r="N4" s="497" t="s">
        <v>551</v>
      </c>
      <c r="O4" s="509" t="s">
        <v>552</v>
      </c>
      <c r="P4" s="499"/>
      <c r="Q4" s="499"/>
      <c r="R4" s="512"/>
    </row>
    <row r="5" spans="1:18" ht="47.25" customHeight="1" x14ac:dyDescent="0.2">
      <c r="A5" s="867" t="s">
        <v>553</v>
      </c>
      <c r="B5" s="868"/>
      <c r="C5" s="868"/>
      <c r="D5" s="868"/>
      <c r="E5" s="868"/>
      <c r="F5" s="868"/>
      <c r="G5" s="868"/>
      <c r="H5" s="868"/>
      <c r="I5" s="868"/>
      <c r="J5" s="868"/>
      <c r="K5" s="868"/>
      <c r="L5" s="868"/>
      <c r="M5" s="868"/>
      <c r="N5" s="868"/>
      <c r="O5" s="868"/>
      <c r="P5" s="868"/>
      <c r="Q5" s="868"/>
      <c r="R5" s="869"/>
    </row>
    <row r="6" spans="1:18" ht="47.25" customHeight="1" x14ac:dyDescent="0.2">
      <c r="A6" s="828" t="s">
        <v>554</v>
      </c>
      <c r="B6" s="498" t="s">
        <v>555</v>
      </c>
      <c r="C6" s="498" t="s">
        <v>128</v>
      </c>
      <c r="D6" s="824" t="s">
        <v>176</v>
      </c>
      <c r="E6" s="853" t="s">
        <v>714</v>
      </c>
      <c r="F6" s="828" t="s">
        <v>715</v>
      </c>
      <c r="G6" s="822" t="s">
        <v>584</v>
      </c>
      <c r="H6" s="829">
        <v>41730</v>
      </c>
      <c r="I6" s="849" t="s">
        <v>445</v>
      </c>
      <c r="J6" s="849" t="s">
        <v>175</v>
      </c>
      <c r="K6" s="849" t="s">
        <v>558</v>
      </c>
      <c r="L6" s="852" t="s">
        <v>716</v>
      </c>
      <c r="M6" s="828" t="s">
        <v>559</v>
      </c>
      <c r="N6" s="828" t="s">
        <v>560</v>
      </c>
      <c r="O6" s="849" t="s">
        <v>609</v>
      </c>
      <c r="P6" s="872" t="s">
        <v>267</v>
      </c>
      <c r="Q6" s="870"/>
      <c r="R6" s="870"/>
    </row>
    <row r="7" spans="1:18" ht="47.25" customHeight="1" x14ac:dyDescent="0.2">
      <c r="A7" s="828"/>
      <c r="B7" s="501" t="s">
        <v>561</v>
      </c>
      <c r="C7" s="501" t="s">
        <v>562</v>
      </c>
      <c r="D7" s="825"/>
      <c r="E7" s="853"/>
      <c r="F7" s="828"/>
      <c r="G7" s="823"/>
      <c r="H7" s="828"/>
      <c r="I7" s="849"/>
      <c r="J7" s="849"/>
      <c r="K7" s="849"/>
      <c r="L7" s="852"/>
      <c r="M7" s="828"/>
      <c r="N7" s="828"/>
      <c r="O7" s="849"/>
      <c r="P7" s="873"/>
      <c r="Q7" s="871"/>
      <c r="R7" s="871"/>
    </row>
    <row r="8" spans="1:18" ht="47.25" customHeight="1" x14ac:dyDescent="0.2">
      <c r="A8" s="828" t="s">
        <v>554</v>
      </c>
      <c r="B8" s="498" t="s">
        <v>555</v>
      </c>
      <c r="C8" s="503" t="s">
        <v>128</v>
      </c>
      <c r="D8" s="824" t="s">
        <v>176</v>
      </c>
      <c r="E8" s="828" t="s">
        <v>563</v>
      </c>
      <c r="F8" s="828" t="s">
        <v>564</v>
      </c>
      <c r="G8" s="498" t="s">
        <v>174</v>
      </c>
      <c r="H8" s="829">
        <v>41072</v>
      </c>
      <c r="I8" s="849" t="s">
        <v>126</v>
      </c>
      <c r="J8" s="849" t="s">
        <v>175</v>
      </c>
      <c r="K8" s="849" t="s">
        <v>565</v>
      </c>
      <c r="L8" s="852" t="s">
        <v>717</v>
      </c>
      <c r="M8" s="828" t="s">
        <v>718</v>
      </c>
      <c r="N8" s="828" t="s">
        <v>560</v>
      </c>
      <c r="O8" s="849" t="s">
        <v>566</v>
      </c>
      <c r="P8" s="854"/>
      <c r="Q8" s="854"/>
      <c r="R8" s="854"/>
    </row>
    <row r="9" spans="1:18" ht="47.25" customHeight="1" x14ac:dyDescent="0.2">
      <c r="A9" s="828"/>
      <c r="B9" s="501" t="s">
        <v>567</v>
      </c>
      <c r="C9" s="504" t="s">
        <v>568</v>
      </c>
      <c r="D9" s="825"/>
      <c r="E9" s="828"/>
      <c r="F9" s="828"/>
      <c r="G9" s="501" t="s">
        <v>569</v>
      </c>
      <c r="H9" s="829"/>
      <c r="I9" s="849"/>
      <c r="J9" s="849"/>
      <c r="K9" s="849"/>
      <c r="L9" s="852"/>
      <c r="M9" s="828"/>
      <c r="N9" s="828"/>
      <c r="O9" s="849"/>
      <c r="P9" s="855"/>
      <c r="Q9" s="855"/>
      <c r="R9" s="855"/>
    </row>
    <row r="10" spans="1:18" ht="47.25" customHeight="1" x14ac:dyDescent="0.2">
      <c r="A10" s="828" t="s">
        <v>554</v>
      </c>
      <c r="B10" s="498" t="s">
        <v>555</v>
      </c>
      <c r="C10" s="498" t="s">
        <v>128</v>
      </c>
      <c r="D10" s="824" t="s">
        <v>176</v>
      </c>
      <c r="E10" s="828" t="s">
        <v>570</v>
      </c>
      <c r="F10" s="828" t="s">
        <v>571</v>
      </c>
      <c r="G10" s="498" t="s">
        <v>572</v>
      </c>
      <c r="H10" s="829">
        <v>40391</v>
      </c>
      <c r="I10" s="849" t="s">
        <v>444</v>
      </c>
      <c r="J10" s="849" t="s">
        <v>175</v>
      </c>
      <c r="K10" s="849" t="s">
        <v>573</v>
      </c>
      <c r="L10" s="852" t="s">
        <v>719</v>
      </c>
      <c r="M10" s="828" t="s">
        <v>720</v>
      </c>
      <c r="N10" s="828" t="s">
        <v>560</v>
      </c>
      <c r="O10" s="849" t="s">
        <v>552</v>
      </c>
      <c r="P10" s="870"/>
      <c r="Q10" s="870"/>
      <c r="R10" s="870"/>
    </row>
    <row r="11" spans="1:18" ht="47.25" customHeight="1" x14ac:dyDescent="0.2">
      <c r="A11" s="828"/>
      <c r="B11" s="501" t="s">
        <v>574</v>
      </c>
      <c r="C11" s="501" t="s">
        <v>575</v>
      </c>
      <c r="D11" s="825"/>
      <c r="E11" s="828"/>
      <c r="F11" s="828"/>
      <c r="G11" s="501" t="s">
        <v>569</v>
      </c>
      <c r="H11" s="829"/>
      <c r="I11" s="849"/>
      <c r="J11" s="849"/>
      <c r="K11" s="849"/>
      <c r="L11" s="852"/>
      <c r="M11" s="828"/>
      <c r="N11" s="828"/>
      <c r="O11" s="849"/>
      <c r="P11" s="871"/>
      <c r="Q11" s="871"/>
      <c r="R11" s="871"/>
    </row>
    <row r="12" spans="1:18" ht="47.25" customHeight="1" x14ac:dyDescent="0.2">
      <c r="A12" s="828" t="s">
        <v>554</v>
      </c>
      <c r="B12" s="498" t="s">
        <v>555</v>
      </c>
      <c r="C12" s="498" t="s">
        <v>128</v>
      </c>
      <c r="D12" s="824" t="s">
        <v>176</v>
      </c>
      <c r="E12" s="828" t="s">
        <v>576</v>
      </c>
      <c r="F12" s="828" t="s">
        <v>577</v>
      </c>
      <c r="G12" s="822" t="s">
        <v>578</v>
      </c>
      <c r="H12" s="829">
        <v>40787</v>
      </c>
      <c r="I12" s="849" t="s">
        <v>126</v>
      </c>
      <c r="J12" s="849" t="s">
        <v>175</v>
      </c>
      <c r="K12" s="849" t="s">
        <v>579</v>
      </c>
      <c r="L12" s="852" t="s">
        <v>721</v>
      </c>
      <c r="M12" s="828" t="s">
        <v>722</v>
      </c>
      <c r="N12" s="828" t="s">
        <v>560</v>
      </c>
      <c r="O12" s="849" t="s">
        <v>580</v>
      </c>
      <c r="P12" s="854"/>
      <c r="Q12" s="854"/>
      <c r="R12" s="854"/>
    </row>
    <row r="13" spans="1:18" ht="47.25" customHeight="1" x14ac:dyDescent="0.2">
      <c r="A13" s="828"/>
      <c r="B13" s="501" t="s">
        <v>581</v>
      </c>
      <c r="C13" s="501" t="s">
        <v>582</v>
      </c>
      <c r="D13" s="825"/>
      <c r="E13" s="828"/>
      <c r="F13" s="828"/>
      <c r="G13" s="823"/>
      <c r="H13" s="829"/>
      <c r="I13" s="849"/>
      <c r="J13" s="849"/>
      <c r="K13" s="849"/>
      <c r="L13" s="852"/>
      <c r="M13" s="828"/>
      <c r="N13" s="828"/>
      <c r="O13" s="849"/>
      <c r="P13" s="855"/>
      <c r="Q13" s="855"/>
      <c r="R13" s="855"/>
    </row>
    <row r="14" spans="1:18" ht="47.25" customHeight="1" x14ac:dyDescent="0.2">
      <c r="A14" s="822" t="s">
        <v>554</v>
      </c>
      <c r="B14" s="498" t="s">
        <v>555</v>
      </c>
      <c r="C14" s="498" t="s">
        <v>128</v>
      </c>
      <c r="D14" s="824" t="s">
        <v>176</v>
      </c>
      <c r="E14" s="822" t="s">
        <v>583</v>
      </c>
      <c r="F14" s="822" t="s">
        <v>571</v>
      </c>
      <c r="G14" s="822" t="s">
        <v>584</v>
      </c>
      <c r="H14" s="850">
        <v>40179</v>
      </c>
      <c r="I14" s="824" t="s">
        <v>444</v>
      </c>
      <c r="J14" s="824" t="s">
        <v>175</v>
      </c>
      <c r="K14" s="824" t="s">
        <v>585</v>
      </c>
      <c r="L14" s="830" t="s">
        <v>723</v>
      </c>
      <c r="M14" s="822" t="s">
        <v>724</v>
      </c>
      <c r="N14" s="822" t="s">
        <v>560</v>
      </c>
      <c r="O14" s="824" t="s">
        <v>541</v>
      </c>
      <c r="P14" s="500"/>
      <c r="Q14" s="500"/>
      <c r="R14" s="500"/>
    </row>
    <row r="15" spans="1:18" ht="47.25" customHeight="1" x14ac:dyDescent="0.2">
      <c r="A15" s="823"/>
      <c r="B15" s="501" t="s">
        <v>586</v>
      </c>
      <c r="C15" s="501" t="s">
        <v>587</v>
      </c>
      <c r="D15" s="825"/>
      <c r="E15" s="823"/>
      <c r="F15" s="823"/>
      <c r="G15" s="823"/>
      <c r="H15" s="851"/>
      <c r="I15" s="825"/>
      <c r="J15" s="825"/>
      <c r="K15" s="825"/>
      <c r="L15" s="831"/>
      <c r="M15" s="823"/>
      <c r="N15" s="823"/>
      <c r="O15" s="825"/>
      <c r="P15" s="502"/>
      <c r="Q15" s="502"/>
      <c r="R15" s="502"/>
    </row>
    <row r="16" spans="1:18" ht="47.25" customHeight="1" x14ac:dyDescent="0.2">
      <c r="A16" s="561" t="s">
        <v>554</v>
      </c>
      <c r="B16" s="497" t="s">
        <v>555</v>
      </c>
      <c r="C16" s="562"/>
      <c r="D16" s="509"/>
      <c r="E16" s="497" t="s">
        <v>725</v>
      </c>
      <c r="F16" s="497" t="s">
        <v>556</v>
      </c>
      <c r="G16" s="508" t="s">
        <v>557</v>
      </c>
      <c r="H16" s="570" t="s">
        <v>726</v>
      </c>
      <c r="I16" s="509"/>
      <c r="J16" s="509"/>
      <c r="K16" s="509"/>
      <c r="L16" s="505"/>
      <c r="M16" s="497"/>
      <c r="N16" s="497"/>
      <c r="O16" s="509"/>
      <c r="P16" s="559"/>
      <c r="Q16" s="559"/>
      <c r="R16" s="557" t="s">
        <v>267</v>
      </c>
    </row>
    <row r="17" spans="1:18" ht="47.25" customHeight="1" x14ac:dyDescent="0.2">
      <c r="A17" s="861"/>
      <c r="B17" s="862"/>
      <c r="C17" s="862"/>
      <c r="D17" s="862"/>
      <c r="E17" s="862"/>
      <c r="F17" s="862"/>
      <c r="G17" s="862"/>
      <c r="H17" s="862"/>
      <c r="I17" s="862"/>
      <c r="J17" s="862"/>
      <c r="K17" s="862"/>
      <c r="L17" s="862"/>
      <c r="M17" s="862"/>
      <c r="N17" s="862"/>
      <c r="O17" s="862"/>
      <c r="P17" s="862"/>
      <c r="Q17" s="862"/>
      <c r="R17" s="863"/>
    </row>
    <row r="18" spans="1:18" ht="47.25" customHeight="1" x14ac:dyDescent="0.2">
      <c r="A18" s="822" t="s">
        <v>542</v>
      </c>
      <c r="B18" s="822" t="s">
        <v>727</v>
      </c>
      <c r="C18" s="501"/>
      <c r="D18" s="824" t="s">
        <v>176</v>
      </c>
      <c r="E18" s="822" t="s">
        <v>728</v>
      </c>
      <c r="F18" s="822" t="s">
        <v>664</v>
      </c>
      <c r="G18" s="822" t="s">
        <v>729</v>
      </c>
      <c r="H18" s="856" t="s">
        <v>730</v>
      </c>
      <c r="I18" s="824" t="s">
        <v>731</v>
      </c>
      <c r="J18" s="824" t="s">
        <v>175</v>
      </c>
      <c r="K18" s="824" t="s">
        <v>175</v>
      </c>
      <c r="L18" s="826" t="s">
        <v>732</v>
      </c>
      <c r="M18" s="822" t="s">
        <v>733</v>
      </c>
      <c r="N18" s="822" t="s">
        <v>734</v>
      </c>
      <c r="O18" s="824" t="s">
        <v>594</v>
      </c>
      <c r="P18" s="837" t="s">
        <v>735</v>
      </c>
      <c r="Q18" s="838"/>
      <c r="R18" s="839"/>
    </row>
    <row r="19" spans="1:18" ht="47.25" customHeight="1" x14ac:dyDescent="0.2">
      <c r="A19" s="823"/>
      <c r="B19" s="823"/>
      <c r="C19" s="501"/>
      <c r="D19" s="825"/>
      <c r="E19" s="823"/>
      <c r="F19" s="823"/>
      <c r="G19" s="823"/>
      <c r="H19" s="857"/>
      <c r="I19" s="825"/>
      <c r="J19" s="825"/>
      <c r="K19" s="825"/>
      <c r="L19" s="827"/>
      <c r="M19" s="823"/>
      <c r="N19" s="823"/>
      <c r="O19" s="825"/>
      <c r="P19" s="840"/>
      <c r="Q19" s="841"/>
      <c r="R19" s="842"/>
    </row>
    <row r="20" spans="1:18" ht="47.25" customHeight="1" x14ac:dyDescent="0.2">
      <c r="A20" s="828" t="s">
        <v>542</v>
      </c>
      <c r="B20" s="822" t="s">
        <v>727</v>
      </c>
      <c r="C20" s="828" t="s">
        <v>588</v>
      </c>
      <c r="D20" s="824" t="s">
        <v>176</v>
      </c>
      <c r="E20" s="828" t="s">
        <v>589</v>
      </c>
      <c r="F20" s="828" t="s">
        <v>590</v>
      </c>
      <c r="G20" s="822" t="s">
        <v>591</v>
      </c>
      <c r="H20" s="829">
        <v>40483</v>
      </c>
      <c r="I20" s="849" t="s">
        <v>444</v>
      </c>
      <c r="J20" s="849" t="s">
        <v>175</v>
      </c>
      <c r="K20" s="849" t="s">
        <v>175</v>
      </c>
      <c r="L20" s="828" t="s">
        <v>736</v>
      </c>
      <c r="M20" s="828" t="s">
        <v>733</v>
      </c>
      <c r="N20" s="828" t="s">
        <v>593</v>
      </c>
      <c r="O20" s="824" t="s">
        <v>594</v>
      </c>
      <c r="P20" s="854"/>
      <c r="Q20" s="854"/>
      <c r="R20" s="854"/>
    </row>
    <row r="21" spans="1:18" ht="47.25" customHeight="1" x14ac:dyDescent="0.2">
      <c r="A21" s="828"/>
      <c r="B21" s="823"/>
      <c r="C21" s="828"/>
      <c r="D21" s="825"/>
      <c r="E21" s="828"/>
      <c r="F21" s="828"/>
      <c r="G21" s="823"/>
      <c r="H21" s="828"/>
      <c r="I21" s="849"/>
      <c r="J21" s="849"/>
      <c r="K21" s="849"/>
      <c r="L21" s="828"/>
      <c r="M21" s="828"/>
      <c r="N21" s="828"/>
      <c r="O21" s="825"/>
      <c r="P21" s="855"/>
      <c r="Q21" s="855"/>
      <c r="R21" s="855"/>
    </row>
    <row r="22" spans="1:18" ht="47.25" customHeight="1" x14ac:dyDescent="0.2">
      <c r="A22" s="497" t="s">
        <v>542</v>
      </c>
      <c r="B22" s="508" t="s">
        <v>737</v>
      </c>
      <c r="C22" s="507"/>
      <c r="D22" s="509" t="s">
        <v>176</v>
      </c>
      <c r="E22" s="497" t="s">
        <v>738</v>
      </c>
      <c r="F22" s="497" t="s">
        <v>556</v>
      </c>
      <c r="G22" s="508" t="s">
        <v>739</v>
      </c>
      <c r="H22" s="510" t="s">
        <v>740</v>
      </c>
      <c r="I22" s="509"/>
      <c r="J22" s="509" t="s">
        <v>175</v>
      </c>
      <c r="K22" s="509" t="s">
        <v>175</v>
      </c>
      <c r="L22" s="497" t="s">
        <v>741</v>
      </c>
      <c r="M22" s="497" t="s">
        <v>545</v>
      </c>
      <c r="N22" s="497" t="s">
        <v>551</v>
      </c>
      <c r="O22" s="509" t="s">
        <v>594</v>
      </c>
      <c r="P22" s="846" t="s">
        <v>735</v>
      </c>
      <c r="Q22" s="847"/>
      <c r="R22" s="848"/>
    </row>
    <row r="23" spans="1:18" ht="47.25" customHeight="1" x14ac:dyDescent="0.2">
      <c r="A23" s="563" t="s">
        <v>542</v>
      </c>
      <c r="B23" s="565"/>
      <c r="C23" s="492" t="s">
        <v>596</v>
      </c>
      <c r="D23" s="566"/>
      <c r="E23" s="564" t="s">
        <v>742</v>
      </c>
      <c r="F23" s="567" t="s">
        <v>543</v>
      </c>
      <c r="G23" s="568" t="s">
        <v>544</v>
      </c>
      <c r="H23" s="510" t="s">
        <v>743</v>
      </c>
      <c r="I23" s="517"/>
      <c r="J23" s="518"/>
      <c r="K23" s="518"/>
      <c r="L23" s="519"/>
      <c r="M23" s="520"/>
      <c r="N23" s="521"/>
      <c r="O23" s="522"/>
      <c r="P23" s="499"/>
      <c r="Q23" s="499"/>
      <c r="R23" s="557" t="s">
        <v>267</v>
      </c>
    </row>
    <row r="24" spans="1:18" ht="47.25" customHeight="1" x14ac:dyDescent="0.2">
      <c r="A24" s="861"/>
      <c r="B24" s="862"/>
      <c r="C24" s="862"/>
      <c r="D24" s="862"/>
      <c r="E24" s="862"/>
      <c r="F24" s="862"/>
      <c r="G24" s="862"/>
      <c r="H24" s="862"/>
      <c r="I24" s="862"/>
      <c r="J24" s="862"/>
      <c r="K24" s="862"/>
      <c r="L24" s="862"/>
      <c r="M24" s="862"/>
      <c r="N24" s="862"/>
      <c r="O24" s="862"/>
      <c r="P24" s="862"/>
      <c r="Q24" s="862"/>
      <c r="R24" s="863"/>
    </row>
    <row r="25" spans="1:18" ht="47.25" customHeight="1" x14ac:dyDescent="0.2">
      <c r="A25" s="492" t="s">
        <v>546</v>
      </c>
      <c r="B25" s="493" t="s">
        <v>595</v>
      </c>
      <c r="C25" s="492" t="s">
        <v>596</v>
      </c>
      <c r="D25" s="513" t="s">
        <v>176</v>
      </c>
      <c r="E25" s="514" t="s">
        <v>597</v>
      </c>
      <c r="F25" s="515" t="s">
        <v>744</v>
      </c>
      <c r="G25" s="516" t="s">
        <v>598</v>
      </c>
      <c r="H25" s="517" t="s">
        <v>175</v>
      </c>
      <c r="I25" s="517"/>
      <c r="J25" s="518" t="s">
        <v>175</v>
      </c>
      <c r="K25" s="518" t="s">
        <v>175</v>
      </c>
      <c r="L25" s="519" t="s">
        <v>745</v>
      </c>
      <c r="M25" s="520"/>
      <c r="N25" s="521"/>
      <c r="O25" s="522" t="s">
        <v>594</v>
      </c>
      <c r="P25" s="499"/>
      <c r="Q25" s="499"/>
      <c r="R25" s="499"/>
    </row>
    <row r="26" spans="1:18" ht="47.25" customHeight="1" x14ac:dyDescent="0.2">
      <c r="A26" s="492" t="s">
        <v>546</v>
      </c>
      <c r="B26" s="493" t="s">
        <v>746</v>
      </c>
      <c r="C26" s="494" t="s">
        <v>448</v>
      </c>
      <c r="D26" s="513" t="s">
        <v>176</v>
      </c>
      <c r="E26" s="514" t="s">
        <v>599</v>
      </c>
      <c r="F26" s="516" t="s">
        <v>600</v>
      </c>
      <c r="G26" s="516" t="s">
        <v>601</v>
      </c>
      <c r="H26" s="523">
        <v>1965</v>
      </c>
      <c r="I26" s="521"/>
      <c r="J26" s="518" t="s">
        <v>175</v>
      </c>
      <c r="K26" s="518" t="s">
        <v>175</v>
      </c>
      <c r="L26" s="519" t="s">
        <v>747</v>
      </c>
      <c r="M26" s="508" t="s">
        <v>545</v>
      </c>
      <c r="N26" s="521"/>
      <c r="O26" s="522" t="s">
        <v>594</v>
      </c>
      <c r="P26" s="499"/>
      <c r="Q26" s="499"/>
      <c r="R26" s="499"/>
    </row>
    <row r="27" spans="1:18" ht="47.25" customHeight="1" x14ac:dyDescent="0.2">
      <c r="A27" s="492" t="s">
        <v>546</v>
      </c>
      <c r="B27" s="493" t="s">
        <v>602</v>
      </c>
      <c r="C27" s="492" t="s">
        <v>448</v>
      </c>
      <c r="D27" s="513" t="s">
        <v>176</v>
      </c>
      <c r="E27" s="514" t="s">
        <v>603</v>
      </c>
      <c r="F27" s="516" t="s">
        <v>604</v>
      </c>
      <c r="G27" s="516" t="s">
        <v>605</v>
      </c>
      <c r="H27" s="523">
        <v>1989</v>
      </c>
      <c r="I27" s="521"/>
      <c r="J27" s="518" t="s">
        <v>175</v>
      </c>
      <c r="K27" s="518" t="s">
        <v>175</v>
      </c>
      <c r="L27" s="519" t="s">
        <v>748</v>
      </c>
      <c r="M27" s="508" t="s">
        <v>545</v>
      </c>
      <c r="N27" s="521"/>
      <c r="O27" s="522" t="s">
        <v>552</v>
      </c>
      <c r="P27" s="499"/>
      <c r="Q27" s="499"/>
      <c r="R27" s="499"/>
    </row>
    <row r="28" spans="1:18" ht="47.25" customHeight="1" x14ac:dyDescent="0.2">
      <c r="A28" s="492" t="s">
        <v>546</v>
      </c>
      <c r="B28" s="493" t="s">
        <v>606</v>
      </c>
      <c r="C28" s="492" t="s">
        <v>448</v>
      </c>
      <c r="D28" s="513" t="s">
        <v>176</v>
      </c>
      <c r="E28" s="514" t="s">
        <v>607</v>
      </c>
      <c r="F28" s="516" t="s">
        <v>608</v>
      </c>
      <c r="G28" s="516" t="s">
        <v>601</v>
      </c>
      <c r="H28" s="523">
        <v>1999</v>
      </c>
      <c r="I28" s="521"/>
      <c r="J28" s="518" t="s">
        <v>175</v>
      </c>
      <c r="K28" s="518" t="s">
        <v>175</v>
      </c>
      <c r="L28" s="519" t="s">
        <v>749</v>
      </c>
      <c r="M28" s="508" t="s">
        <v>592</v>
      </c>
      <c r="N28" s="521"/>
      <c r="O28" s="522" t="s">
        <v>609</v>
      </c>
      <c r="P28" s="499"/>
      <c r="Q28" s="499"/>
      <c r="R28" s="499"/>
    </row>
    <row r="29" spans="1:18" ht="47.25" customHeight="1" x14ac:dyDescent="0.2">
      <c r="A29" s="492" t="s">
        <v>546</v>
      </c>
      <c r="B29" s="493" t="s">
        <v>610</v>
      </c>
      <c r="C29" s="492" t="s">
        <v>448</v>
      </c>
      <c r="D29" s="513" t="s">
        <v>176</v>
      </c>
      <c r="E29" s="514" t="s">
        <v>611</v>
      </c>
      <c r="F29" s="516" t="s">
        <v>612</v>
      </c>
      <c r="G29" s="516" t="s">
        <v>613</v>
      </c>
      <c r="H29" s="523">
        <v>2002</v>
      </c>
      <c r="I29" s="509" t="s">
        <v>444</v>
      </c>
      <c r="J29" s="518" t="s">
        <v>175</v>
      </c>
      <c r="K29" s="518" t="s">
        <v>175</v>
      </c>
      <c r="L29" s="519" t="s">
        <v>750</v>
      </c>
      <c r="M29" s="508" t="s">
        <v>545</v>
      </c>
      <c r="N29" s="521"/>
      <c r="O29" s="522" t="s">
        <v>580</v>
      </c>
      <c r="P29" s="499"/>
      <c r="Q29" s="499"/>
      <c r="R29" s="499"/>
    </row>
    <row r="30" spans="1:18" ht="47.25" customHeight="1" x14ac:dyDescent="0.2">
      <c r="A30" s="492" t="s">
        <v>546</v>
      </c>
      <c r="B30" s="493" t="s">
        <v>614</v>
      </c>
      <c r="C30" s="492" t="s">
        <v>448</v>
      </c>
      <c r="D30" s="513" t="s">
        <v>176</v>
      </c>
      <c r="E30" s="514" t="s">
        <v>615</v>
      </c>
      <c r="F30" s="516" t="s">
        <v>616</v>
      </c>
      <c r="G30" s="516" t="s">
        <v>617</v>
      </c>
      <c r="H30" s="523">
        <v>2005</v>
      </c>
      <c r="I30" s="521"/>
      <c r="J30" s="518" t="s">
        <v>175</v>
      </c>
      <c r="K30" s="518" t="s">
        <v>175</v>
      </c>
      <c r="L30" s="519" t="s">
        <v>751</v>
      </c>
      <c r="M30" s="508" t="s">
        <v>545</v>
      </c>
      <c r="N30" s="521"/>
      <c r="O30" s="522" t="s">
        <v>618</v>
      </c>
      <c r="P30" s="499"/>
      <c r="Q30" s="499"/>
      <c r="R30" s="499"/>
    </row>
    <row r="31" spans="1:18" ht="47.25" customHeight="1" x14ac:dyDescent="0.2">
      <c r="A31" s="492" t="s">
        <v>546</v>
      </c>
      <c r="B31" s="495" t="s">
        <v>619</v>
      </c>
      <c r="C31" s="496" t="s">
        <v>448</v>
      </c>
      <c r="D31" s="513" t="s">
        <v>176</v>
      </c>
      <c r="E31" s="514" t="s">
        <v>620</v>
      </c>
      <c r="F31" s="516" t="s">
        <v>621</v>
      </c>
      <c r="G31" s="516" t="s">
        <v>622</v>
      </c>
      <c r="H31" s="524">
        <v>40817</v>
      </c>
      <c r="I31" s="509" t="s">
        <v>444</v>
      </c>
      <c r="J31" s="518" t="s">
        <v>175</v>
      </c>
      <c r="K31" s="518" t="s">
        <v>175</v>
      </c>
      <c r="L31" s="525" t="s">
        <v>752</v>
      </c>
      <c r="M31" s="560" t="s">
        <v>545</v>
      </c>
      <c r="N31" s="526"/>
      <c r="O31" s="527" t="s">
        <v>623</v>
      </c>
      <c r="P31" s="528"/>
      <c r="Q31" s="528"/>
      <c r="R31" s="528"/>
    </row>
    <row r="32" spans="1:18" ht="47.25" customHeight="1" x14ac:dyDescent="0.2">
      <c r="A32" s="492" t="s">
        <v>546</v>
      </c>
      <c r="B32" s="495" t="s">
        <v>624</v>
      </c>
      <c r="C32" s="496" t="s">
        <v>448</v>
      </c>
      <c r="D32" s="513" t="s">
        <v>176</v>
      </c>
      <c r="E32" s="514" t="s">
        <v>625</v>
      </c>
      <c r="F32" s="516" t="s">
        <v>626</v>
      </c>
      <c r="G32" s="516" t="s">
        <v>601</v>
      </c>
      <c r="H32" s="524">
        <v>41072</v>
      </c>
      <c r="I32" s="526"/>
      <c r="J32" s="518" t="s">
        <v>175</v>
      </c>
      <c r="K32" s="518" t="s">
        <v>175</v>
      </c>
      <c r="L32" s="525" t="s">
        <v>753</v>
      </c>
      <c r="M32" s="560" t="s">
        <v>545</v>
      </c>
      <c r="N32" s="526"/>
      <c r="O32" s="527" t="s">
        <v>627</v>
      </c>
      <c r="P32" s="528"/>
      <c r="Q32" s="528"/>
      <c r="R32" s="528"/>
    </row>
    <row r="33" spans="1:18" ht="47.25" customHeight="1" x14ac:dyDescent="0.25">
      <c r="A33" s="858"/>
      <c r="B33" s="859"/>
      <c r="C33" s="859"/>
      <c r="D33" s="859"/>
      <c r="E33" s="859"/>
      <c r="F33" s="859"/>
      <c r="G33" s="859"/>
      <c r="H33" s="859"/>
      <c r="I33" s="859"/>
      <c r="J33" s="859"/>
      <c r="K33" s="859"/>
      <c r="L33" s="859"/>
      <c r="M33" s="859"/>
      <c r="N33" s="859"/>
      <c r="O33" s="859"/>
      <c r="P33" s="859"/>
      <c r="Q33" s="859"/>
      <c r="R33" s="860"/>
    </row>
    <row r="34" spans="1:18" ht="47.25" customHeight="1" x14ac:dyDescent="0.25">
      <c r="A34" s="569" t="s">
        <v>754</v>
      </c>
      <c r="B34" s="551" t="s">
        <v>755</v>
      </c>
      <c r="C34" s="548"/>
      <c r="D34" s="550" t="s">
        <v>176</v>
      </c>
      <c r="E34" s="552" t="s">
        <v>756</v>
      </c>
      <c r="F34" s="551" t="s">
        <v>757</v>
      </c>
      <c r="G34" s="551" t="s">
        <v>758</v>
      </c>
      <c r="H34" s="553" t="s">
        <v>759</v>
      </c>
      <c r="I34" s="554" t="s">
        <v>126</v>
      </c>
      <c r="J34" s="550" t="s">
        <v>175</v>
      </c>
      <c r="K34" s="550" t="s">
        <v>175</v>
      </c>
      <c r="L34" s="552" t="s">
        <v>760</v>
      </c>
      <c r="M34" s="555" t="s">
        <v>713</v>
      </c>
      <c r="N34" s="550">
        <v>10</v>
      </c>
      <c r="O34" s="554" t="s">
        <v>566</v>
      </c>
      <c r="P34" s="549"/>
      <c r="Q34" s="549"/>
      <c r="R34" s="549"/>
    </row>
    <row r="35" spans="1:18" ht="47.25" customHeight="1" x14ac:dyDescent="0.25">
      <c r="A35" s="546"/>
      <c r="B35" s="506"/>
      <c r="C35" s="506"/>
      <c r="D35" s="506"/>
      <c r="E35" s="506"/>
      <c r="F35" s="506"/>
      <c r="G35" s="506"/>
      <c r="H35" s="506"/>
      <c r="I35" s="506"/>
      <c r="J35" s="506"/>
      <c r="K35" s="506"/>
      <c r="L35" s="506"/>
      <c r="M35" s="506"/>
      <c r="N35" s="506"/>
      <c r="O35" s="506"/>
      <c r="P35" s="506"/>
      <c r="Q35" s="506"/>
      <c r="R35" s="547"/>
    </row>
    <row r="36" spans="1:18" ht="47.25" customHeight="1" x14ac:dyDescent="0.2">
      <c r="A36" s="529" t="s">
        <v>537</v>
      </c>
      <c r="B36" s="530" t="s">
        <v>655</v>
      </c>
      <c r="C36" s="531" t="s">
        <v>656</v>
      </c>
      <c r="D36" s="530" t="s">
        <v>176</v>
      </c>
      <c r="E36" s="532" t="s">
        <v>657</v>
      </c>
      <c r="F36" s="533" t="s">
        <v>571</v>
      </c>
      <c r="G36" s="532" t="s">
        <v>658</v>
      </c>
      <c r="H36" s="534">
        <v>40339</v>
      </c>
      <c r="I36" s="530" t="s">
        <v>444</v>
      </c>
      <c r="J36" s="535" t="s">
        <v>175</v>
      </c>
      <c r="K36" s="535" t="s">
        <v>175</v>
      </c>
      <c r="L36" s="537"/>
      <c r="M36" s="556" t="s">
        <v>540</v>
      </c>
      <c r="N36" s="530">
        <v>8</v>
      </c>
      <c r="O36" s="529"/>
      <c r="P36" s="499"/>
      <c r="Q36" s="499"/>
      <c r="R36" s="499"/>
    </row>
    <row r="37" spans="1:18" ht="47.25" customHeight="1" x14ac:dyDescent="0.2">
      <c r="A37" s="529" t="s">
        <v>537</v>
      </c>
      <c r="B37" s="530" t="s">
        <v>659</v>
      </c>
      <c r="C37" s="531" t="s">
        <v>660</v>
      </c>
      <c r="D37" s="530" t="s">
        <v>176</v>
      </c>
      <c r="E37" s="532" t="s">
        <v>661</v>
      </c>
      <c r="F37" s="533" t="s">
        <v>662</v>
      </c>
      <c r="G37" s="532" t="s">
        <v>663</v>
      </c>
      <c r="H37" s="534">
        <v>38388</v>
      </c>
      <c r="I37" s="530" t="s">
        <v>444</v>
      </c>
      <c r="J37" s="535" t="s">
        <v>175</v>
      </c>
      <c r="K37" s="535" t="s">
        <v>175</v>
      </c>
      <c r="L37" s="530"/>
      <c r="M37" s="556" t="s">
        <v>540</v>
      </c>
      <c r="N37" s="530">
        <v>8</v>
      </c>
      <c r="O37" s="529"/>
      <c r="P37" s="499"/>
      <c r="Q37" s="499"/>
      <c r="R37" s="499"/>
    </row>
    <row r="38" spans="1:18" ht="47.25" customHeight="1" x14ac:dyDescent="0.2">
      <c r="A38" s="529" t="s">
        <v>537</v>
      </c>
      <c r="B38" s="530" t="s">
        <v>665</v>
      </c>
      <c r="C38" s="531" t="s">
        <v>666</v>
      </c>
      <c r="D38" s="530" t="s">
        <v>176</v>
      </c>
      <c r="E38" s="532" t="s">
        <v>667</v>
      </c>
      <c r="F38" s="533" t="s">
        <v>564</v>
      </c>
      <c r="G38" s="532" t="s">
        <v>668</v>
      </c>
      <c r="H38" s="534">
        <v>41091</v>
      </c>
      <c r="I38" s="530" t="s">
        <v>444</v>
      </c>
      <c r="J38" s="535" t="s">
        <v>175</v>
      </c>
      <c r="K38" s="535" t="s">
        <v>175</v>
      </c>
      <c r="L38" s="530"/>
      <c r="M38" s="556" t="s">
        <v>540</v>
      </c>
      <c r="N38" s="530">
        <v>10</v>
      </c>
      <c r="O38" s="529"/>
      <c r="P38" s="499"/>
      <c r="Q38" s="499"/>
      <c r="R38" s="499"/>
    </row>
    <row r="39" spans="1:18" ht="47.25" customHeight="1" x14ac:dyDescent="0.2">
      <c r="A39" s="529" t="s">
        <v>537</v>
      </c>
      <c r="B39" s="530" t="s">
        <v>669</v>
      </c>
      <c r="C39" s="531" t="s">
        <v>666</v>
      </c>
      <c r="D39" s="530" t="s">
        <v>176</v>
      </c>
      <c r="E39" s="532" t="s">
        <v>670</v>
      </c>
      <c r="F39" s="533" t="s">
        <v>556</v>
      </c>
      <c r="G39" s="532" t="s">
        <v>671</v>
      </c>
      <c r="H39" s="534">
        <v>39576</v>
      </c>
      <c r="I39" s="530" t="s">
        <v>444</v>
      </c>
      <c r="J39" s="535" t="s">
        <v>175</v>
      </c>
      <c r="K39" s="535" t="s">
        <v>175</v>
      </c>
      <c r="L39" s="530"/>
      <c r="M39" s="556" t="s">
        <v>540</v>
      </c>
      <c r="N39" s="530">
        <v>10</v>
      </c>
      <c r="O39" s="529"/>
      <c r="P39" s="499"/>
      <c r="Q39" s="499"/>
      <c r="R39" s="499"/>
    </row>
    <row r="40" spans="1:18" ht="47.25" customHeight="1" x14ac:dyDescent="0.2">
      <c r="A40" s="529" t="s">
        <v>537</v>
      </c>
      <c r="B40" s="539" t="s">
        <v>672</v>
      </c>
      <c r="C40" s="531" t="s">
        <v>666</v>
      </c>
      <c r="D40" s="530" t="s">
        <v>176</v>
      </c>
      <c r="E40" s="540" t="s">
        <v>673</v>
      </c>
      <c r="F40" s="541" t="s">
        <v>590</v>
      </c>
      <c r="G40" s="540" t="s">
        <v>674</v>
      </c>
      <c r="H40" s="542">
        <v>40554</v>
      </c>
      <c r="I40" s="530" t="s">
        <v>444</v>
      </c>
      <c r="J40" s="535" t="s">
        <v>175</v>
      </c>
      <c r="K40" s="535" t="s">
        <v>175</v>
      </c>
      <c r="L40" s="539"/>
      <c r="M40" s="556" t="s">
        <v>540</v>
      </c>
      <c r="N40" s="539">
        <v>10</v>
      </c>
      <c r="O40" s="529"/>
      <c r="P40" s="499"/>
      <c r="Q40" s="499"/>
      <c r="R40" s="499"/>
    </row>
    <row r="41" spans="1:18" ht="47.25" customHeight="1" x14ac:dyDescent="0.2">
      <c r="A41" s="529" t="s">
        <v>537</v>
      </c>
      <c r="B41" s="530" t="s">
        <v>675</v>
      </c>
      <c r="C41" s="531" t="s">
        <v>666</v>
      </c>
      <c r="D41" s="530" t="s">
        <v>176</v>
      </c>
      <c r="E41" s="532" t="s">
        <v>676</v>
      </c>
      <c r="F41" s="533" t="s">
        <v>677</v>
      </c>
      <c r="G41" s="532" t="s">
        <v>674</v>
      </c>
      <c r="H41" s="534">
        <v>39148</v>
      </c>
      <c r="I41" s="530" t="s">
        <v>444</v>
      </c>
      <c r="J41" s="535" t="s">
        <v>175</v>
      </c>
      <c r="K41" s="535" t="s">
        <v>175</v>
      </c>
      <c r="L41" s="530"/>
      <c r="M41" s="556" t="s">
        <v>540</v>
      </c>
      <c r="N41" s="530">
        <v>10</v>
      </c>
      <c r="O41" s="529"/>
      <c r="P41" s="499"/>
      <c r="Q41" s="499"/>
      <c r="R41" s="499"/>
    </row>
    <row r="42" spans="1:18" ht="47.25" customHeight="1" x14ac:dyDescent="0.2">
      <c r="A42" s="529" t="s">
        <v>537</v>
      </c>
      <c r="B42" s="530" t="s">
        <v>761</v>
      </c>
      <c r="C42" s="531"/>
      <c r="D42" s="530" t="s">
        <v>176</v>
      </c>
      <c r="E42" s="532" t="s">
        <v>762</v>
      </c>
      <c r="F42" s="533" t="s">
        <v>715</v>
      </c>
      <c r="G42" s="532" t="s">
        <v>763</v>
      </c>
      <c r="H42" s="558" t="s">
        <v>764</v>
      </c>
      <c r="I42" s="530" t="s">
        <v>731</v>
      </c>
      <c r="J42" s="535" t="s">
        <v>175</v>
      </c>
      <c r="K42" s="535" t="s">
        <v>175</v>
      </c>
      <c r="L42" s="530"/>
      <c r="M42" s="556" t="s">
        <v>540</v>
      </c>
      <c r="N42" s="530">
        <v>8</v>
      </c>
      <c r="O42" s="529"/>
      <c r="P42" s="557" t="s">
        <v>267</v>
      </c>
      <c r="Q42" s="499"/>
      <c r="R42" s="499"/>
    </row>
    <row r="43" spans="1:18" ht="47.25" customHeight="1" x14ac:dyDescent="0.2">
      <c r="A43" s="529" t="s">
        <v>537</v>
      </c>
      <c r="B43" s="530" t="s">
        <v>632</v>
      </c>
      <c r="C43" s="531" t="s">
        <v>629</v>
      </c>
      <c r="D43" s="530" t="s">
        <v>176</v>
      </c>
      <c r="E43" s="532" t="s">
        <v>633</v>
      </c>
      <c r="F43" s="533" t="s">
        <v>634</v>
      </c>
      <c r="G43" s="532" t="s">
        <v>631</v>
      </c>
      <c r="H43" s="534">
        <v>37561</v>
      </c>
      <c r="I43" s="530"/>
      <c r="J43" s="535" t="s">
        <v>175</v>
      </c>
      <c r="K43" s="535" t="s">
        <v>175</v>
      </c>
      <c r="L43" s="530"/>
      <c r="M43" s="536"/>
      <c r="N43" s="530">
        <v>18</v>
      </c>
      <c r="O43" s="529"/>
      <c r="P43" s="499"/>
      <c r="Q43" s="499"/>
      <c r="R43" s="499"/>
    </row>
    <row r="44" spans="1:18" ht="47.25" customHeight="1" x14ac:dyDescent="0.2">
      <c r="A44" s="529" t="s">
        <v>537</v>
      </c>
      <c r="B44" s="530" t="s">
        <v>635</v>
      </c>
      <c r="C44" s="531" t="s">
        <v>629</v>
      </c>
      <c r="D44" s="530" t="s">
        <v>176</v>
      </c>
      <c r="E44" s="532" t="s">
        <v>636</v>
      </c>
      <c r="F44" s="533" t="s">
        <v>637</v>
      </c>
      <c r="G44" s="532" t="s">
        <v>631</v>
      </c>
      <c r="H44" s="534">
        <v>37258</v>
      </c>
      <c r="I44" s="530"/>
      <c r="J44" s="535" t="s">
        <v>175</v>
      </c>
      <c r="K44" s="535" t="s">
        <v>175</v>
      </c>
      <c r="L44" s="530"/>
      <c r="M44" s="536"/>
      <c r="N44" s="530">
        <v>18</v>
      </c>
      <c r="O44" s="529"/>
      <c r="P44" s="499"/>
      <c r="Q44" s="499"/>
      <c r="R44" s="499"/>
    </row>
    <row r="45" spans="1:18" ht="47.25" customHeight="1" x14ac:dyDescent="0.2">
      <c r="A45" s="529" t="s">
        <v>537</v>
      </c>
      <c r="B45" s="530" t="s">
        <v>628</v>
      </c>
      <c r="C45" s="531"/>
      <c r="D45" s="530" t="s">
        <v>176</v>
      </c>
      <c r="E45" s="532" t="s">
        <v>765</v>
      </c>
      <c r="F45" s="533" t="s">
        <v>630</v>
      </c>
      <c r="G45" s="532" t="s">
        <v>631</v>
      </c>
      <c r="H45" s="534">
        <v>36130</v>
      </c>
      <c r="I45" s="530"/>
      <c r="J45" s="535" t="s">
        <v>175</v>
      </c>
      <c r="K45" s="535" t="s">
        <v>175</v>
      </c>
      <c r="L45" s="530"/>
      <c r="M45" s="536"/>
      <c r="N45" s="530">
        <v>18</v>
      </c>
      <c r="O45" s="529"/>
      <c r="P45" s="843" t="s">
        <v>766</v>
      </c>
      <c r="Q45" s="844"/>
      <c r="R45" s="845"/>
    </row>
    <row r="46" spans="1:18" ht="47.25" customHeight="1" x14ac:dyDescent="0.2">
      <c r="A46" s="529" t="s">
        <v>537</v>
      </c>
      <c r="B46" s="530" t="s">
        <v>638</v>
      </c>
      <c r="C46" s="531" t="s">
        <v>629</v>
      </c>
      <c r="D46" s="530" t="s">
        <v>176</v>
      </c>
      <c r="E46" s="532" t="s">
        <v>639</v>
      </c>
      <c r="F46" s="533" t="s">
        <v>640</v>
      </c>
      <c r="G46" s="532" t="s">
        <v>641</v>
      </c>
      <c r="H46" s="534">
        <v>35796</v>
      </c>
      <c r="I46" s="530"/>
      <c r="J46" s="535" t="s">
        <v>175</v>
      </c>
      <c r="K46" s="535" t="s">
        <v>175</v>
      </c>
      <c r="L46" s="530"/>
      <c r="M46" s="536"/>
      <c r="N46" s="530">
        <v>15</v>
      </c>
      <c r="O46" s="529"/>
      <c r="P46" s="499"/>
      <c r="Q46" s="499"/>
      <c r="R46" s="499"/>
    </row>
    <row r="47" spans="1:18" ht="47.25" customHeight="1" x14ac:dyDescent="0.2">
      <c r="A47" s="529" t="s">
        <v>537</v>
      </c>
      <c r="B47" s="530" t="s">
        <v>642</v>
      </c>
      <c r="C47" s="531" t="s">
        <v>629</v>
      </c>
      <c r="D47" s="530" t="s">
        <v>176</v>
      </c>
      <c r="E47" s="532" t="s">
        <v>643</v>
      </c>
      <c r="F47" s="533" t="s">
        <v>644</v>
      </c>
      <c r="G47" s="532" t="s">
        <v>631</v>
      </c>
      <c r="H47" s="534">
        <v>34912</v>
      </c>
      <c r="I47" s="530"/>
      <c r="J47" s="535" t="s">
        <v>175</v>
      </c>
      <c r="K47" s="535" t="s">
        <v>175</v>
      </c>
      <c r="L47" s="530"/>
      <c r="M47" s="536"/>
      <c r="N47" s="530">
        <v>18</v>
      </c>
      <c r="O47" s="529"/>
      <c r="P47" s="499"/>
      <c r="Q47" s="499"/>
      <c r="R47" s="499"/>
    </row>
    <row r="48" spans="1:18" ht="47.25" customHeight="1" x14ac:dyDescent="0.2">
      <c r="A48" s="529" t="s">
        <v>537</v>
      </c>
      <c r="B48" s="530" t="s">
        <v>645</v>
      </c>
      <c r="C48" s="531" t="s">
        <v>646</v>
      </c>
      <c r="D48" s="530" t="s">
        <v>176</v>
      </c>
      <c r="E48" s="532" t="s">
        <v>647</v>
      </c>
      <c r="F48" s="533" t="s">
        <v>648</v>
      </c>
      <c r="G48" s="532" t="s">
        <v>649</v>
      </c>
      <c r="H48" s="534">
        <v>40735</v>
      </c>
      <c r="I48" s="530"/>
      <c r="J48" s="535" t="s">
        <v>175</v>
      </c>
      <c r="K48" s="535" t="s">
        <v>175</v>
      </c>
      <c r="L48" s="537"/>
      <c r="M48" s="536"/>
      <c r="N48" s="530">
        <v>18</v>
      </c>
      <c r="O48" s="529"/>
      <c r="P48" s="499"/>
      <c r="Q48" s="499"/>
      <c r="R48" s="499"/>
    </row>
    <row r="49" spans="1:18" ht="47.25" customHeight="1" x14ac:dyDescent="0.2">
      <c r="A49" s="529" t="s">
        <v>537</v>
      </c>
      <c r="B49" s="530" t="s">
        <v>650</v>
      </c>
      <c r="C49" s="531" t="s">
        <v>651</v>
      </c>
      <c r="D49" s="530" t="s">
        <v>176</v>
      </c>
      <c r="E49" s="532" t="s">
        <v>652</v>
      </c>
      <c r="F49" s="533" t="s">
        <v>653</v>
      </c>
      <c r="G49" s="532" t="s">
        <v>654</v>
      </c>
      <c r="H49" s="534">
        <v>32660</v>
      </c>
      <c r="I49" s="530"/>
      <c r="J49" s="535" t="s">
        <v>175</v>
      </c>
      <c r="K49" s="535" t="s">
        <v>175</v>
      </c>
      <c r="L49" s="538" t="s">
        <v>767</v>
      </c>
      <c r="M49" s="536"/>
      <c r="N49" s="530">
        <v>20</v>
      </c>
      <c r="O49" s="529"/>
      <c r="P49" s="499"/>
      <c r="Q49" s="499"/>
      <c r="R49" s="499"/>
    </row>
    <row r="50" spans="1:18" ht="29.25" customHeight="1" x14ac:dyDescent="0.2">
      <c r="A50" s="529" t="s">
        <v>537</v>
      </c>
      <c r="B50" s="530" t="s">
        <v>678</v>
      </c>
      <c r="C50" s="531" t="s">
        <v>679</v>
      </c>
      <c r="D50" s="530" t="s">
        <v>176</v>
      </c>
      <c r="E50" s="532" t="s">
        <v>680</v>
      </c>
      <c r="F50" s="543" t="s">
        <v>681</v>
      </c>
      <c r="G50" s="532" t="s">
        <v>682</v>
      </c>
      <c r="H50" s="534">
        <v>36800</v>
      </c>
      <c r="I50" s="530"/>
      <c r="J50" s="535" t="s">
        <v>175</v>
      </c>
      <c r="K50" s="535" t="s">
        <v>175</v>
      </c>
      <c r="L50" s="530"/>
      <c r="M50" s="536"/>
      <c r="N50" s="530">
        <v>15</v>
      </c>
      <c r="O50" s="529"/>
      <c r="P50" s="499"/>
      <c r="Q50" s="499"/>
      <c r="R50" s="499"/>
    </row>
    <row r="51" spans="1:18" ht="29.25" customHeight="1" x14ac:dyDescent="0.2">
      <c r="A51" s="529" t="s">
        <v>537</v>
      </c>
      <c r="B51" s="530" t="s">
        <v>768</v>
      </c>
      <c r="C51" s="531"/>
      <c r="D51" s="530" t="s">
        <v>176</v>
      </c>
      <c r="E51" s="532" t="s">
        <v>769</v>
      </c>
      <c r="F51" s="529" t="s">
        <v>770</v>
      </c>
      <c r="G51" s="532" t="s">
        <v>771</v>
      </c>
      <c r="H51" s="534">
        <v>41926</v>
      </c>
      <c r="I51" s="530"/>
      <c r="J51" s="535" t="s">
        <v>175</v>
      </c>
      <c r="K51" s="535" t="s">
        <v>175</v>
      </c>
      <c r="L51" s="530"/>
      <c r="M51" s="536"/>
      <c r="N51" s="530">
        <v>15</v>
      </c>
      <c r="O51" s="529"/>
      <c r="P51" s="557" t="s">
        <v>267</v>
      </c>
      <c r="Q51" s="499"/>
      <c r="R51" s="499"/>
    </row>
    <row r="52" spans="1:18" ht="44.25" customHeight="1" x14ac:dyDescent="0.2">
      <c r="A52" s="529" t="s">
        <v>537</v>
      </c>
      <c r="B52" s="530" t="s">
        <v>683</v>
      </c>
      <c r="C52" s="531" t="s">
        <v>684</v>
      </c>
      <c r="D52" s="530" t="s">
        <v>176</v>
      </c>
      <c r="E52" s="533" t="s">
        <v>685</v>
      </c>
      <c r="F52" s="533" t="s">
        <v>686</v>
      </c>
      <c r="G52" s="532" t="s">
        <v>687</v>
      </c>
      <c r="H52" s="534">
        <v>39973</v>
      </c>
      <c r="I52" s="530"/>
      <c r="J52" s="535" t="s">
        <v>175</v>
      </c>
      <c r="K52" s="535" t="s">
        <v>175</v>
      </c>
      <c r="L52" s="544"/>
      <c r="M52" s="536"/>
      <c r="N52" s="530">
        <v>15</v>
      </c>
      <c r="O52" s="529"/>
      <c r="P52" s="499"/>
      <c r="Q52" s="499"/>
      <c r="R52" s="499"/>
    </row>
    <row r="53" spans="1:18" ht="45" x14ac:dyDescent="0.2">
      <c r="A53" s="529" t="s">
        <v>537</v>
      </c>
      <c r="B53" s="530" t="s">
        <v>688</v>
      </c>
      <c r="C53" s="531" t="s">
        <v>689</v>
      </c>
      <c r="D53" s="530" t="s">
        <v>176</v>
      </c>
      <c r="E53" s="532" t="s">
        <v>772</v>
      </c>
      <c r="F53" s="533" t="s">
        <v>770</v>
      </c>
      <c r="G53" s="532" t="s">
        <v>773</v>
      </c>
      <c r="H53" s="534">
        <v>41957</v>
      </c>
      <c r="I53" s="530"/>
      <c r="J53" s="535" t="s">
        <v>175</v>
      </c>
      <c r="K53" s="535" t="s">
        <v>175</v>
      </c>
      <c r="L53" s="530"/>
      <c r="M53" s="536"/>
      <c r="N53" s="530">
        <v>15</v>
      </c>
      <c r="O53" s="529"/>
      <c r="P53" s="557" t="s">
        <v>267</v>
      </c>
      <c r="Q53" s="499"/>
      <c r="R53" s="545"/>
    </row>
    <row r="54" spans="1:18" ht="45" x14ac:dyDescent="0.2">
      <c r="A54" s="529" t="s">
        <v>537</v>
      </c>
      <c r="B54" s="530" t="s">
        <v>691</v>
      </c>
      <c r="C54" s="531" t="s">
        <v>692</v>
      </c>
      <c r="D54" s="530" t="s">
        <v>176</v>
      </c>
      <c r="E54" s="532" t="s">
        <v>693</v>
      </c>
      <c r="F54" s="533" t="s">
        <v>694</v>
      </c>
      <c r="G54" s="532" t="s">
        <v>695</v>
      </c>
      <c r="H54" s="534">
        <v>36251</v>
      </c>
      <c r="I54" s="530"/>
      <c r="J54" s="535" t="s">
        <v>175</v>
      </c>
      <c r="K54" s="535" t="s">
        <v>175</v>
      </c>
      <c r="L54" s="532" t="s">
        <v>774</v>
      </c>
      <c r="M54" s="536"/>
      <c r="N54" s="530">
        <v>12</v>
      </c>
      <c r="O54" s="529"/>
      <c r="P54" s="499"/>
      <c r="Q54" s="499"/>
      <c r="R54" s="499"/>
    </row>
    <row r="55" spans="1:18" ht="12.75" hidden="1" customHeight="1" x14ac:dyDescent="0.2">
      <c r="A55" s="529" t="s">
        <v>537</v>
      </c>
      <c r="B55" s="530"/>
      <c r="C55" s="531"/>
      <c r="D55" s="530"/>
      <c r="E55" s="532"/>
      <c r="F55" s="532" t="s">
        <v>538</v>
      </c>
      <c r="G55" s="532" t="s">
        <v>539</v>
      </c>
      <c r="H55" s="558" t="s">
        <v>775</v>
      </c>
      <c r="I55" s="530"/>
      <c r="J55" s="535"/>
      <c r="K55" s="535"/>
      <c r="L55" s="530"/>
      <c r="M55" s="536"/>
      <c r="N55" s="530"/>
      <c r="O55" s="529"/>
      <c r="P55" s="557"/>
      <c r="Q55" s="499"/>
      <c r="R55" s="557" t="s">
        <v>267</v>
      </c>
    </row>
    <row r="56" spans="1:18" ht="12.75" hidden="1" customHeight="1" x14ac:dyDescent="0.2">
      <c r="A56" s="529" t="s">
        <v>537</v>
      </c>
      <c r="B56" s="530"/>
      <c r="C56" s="531"/>
      <c r="D56" s="530"/>
      <c r="E56" s="532" t="s">
        <v>776</v>
      </c>
      <c r="F56" s="533" t="s">
        <v>690</v>
      </c>
      <c r="G56" s="532" t="s">
        <v>777</v>
      </c>
      <c r="H56" s="558" t="s">
        <v>778</v>
      </c>
      <c r="I56" s="530"/>
      <c r="J56" s="535"/>
      <c r="K56" s="535"/>
      <c r="L56" s="530"/>
      <c r="M56" s="536"/>
      <c r="N56" s="530"/>
      <c r="O56" s="529"/>
      <c r="P56" s="557"/>
      <c r="Q56" s="499"/>
      <c r="R56" s="557" t="s">
        <v>267</v>
      </c>
    </row>
    <row r="57" spans="1:18" ht="12.75" hidden="1" customHeight="1" x14ac:dyDescent="0.2">
      <c r="A57" s="529" t="s">
        <v>537</v>
      </c>
      <c r="B57" s="530"/>
      <c r="C57" s="531"/>
      <c r="D57" s="530"/>
      <c r="E57" s="532" t="s">
        <v>779</v>
      </c>
      <c r="F57" s="533" t="s">
        <v>780</v>
      </c>
      <c r="G57" s="532" t="s">
        <v>696</v>
      </c>
      <c r="H57" s="558" t="s">
        <v>697</v>
      </c>
      <c r="I57" s="530"/>
      <c r="J57" s="535"/>
      <c r="K57" s="535"/>
      <c r="L57" s="530"/>
      <c r="M57" s="536"/>
      <c r="N57" s="530"/>
      <c r="O57" s="529"/>
      <c r="P57" s="557"/>
      <c r="Q57" s="499"/>
      <c r="R57" s="557" t="s">
        <v>267</v>
      </c>
    </row>
    <row r="58" spans="1:18" ht="12.75" hidden="1" customHeight="1" x14ac:dyDescent="0.2">
      <c r="A58" s="834" t="s">
        <v>781</v>
      </c>
      <c r="B58" s="835"/>
      <c r="C58" s="835"/>
      <c r="D58" s="835"/>
      <c r="E58" s="835"/>
      <c r="F58" s="836"/>
      <c r="G58" s="532"/>
      <c r="H58" s="558"/>
      <c r="I58" s="530"/>
      <c r="J58" s="535"/>
      <c r="K58" s="535"/>
      <c r="L58" s="530"/>
      <c r="M58" s="536"/>
      <c r="N58" s="530"/>
      <c r="O58" s="529"/>
      <c r="P58" s="557"/>
      <c r="Q58" s="499"/>
      <c r="R58" s="557"/>
    </row>
    <row r="59" spans="1:18" ht="12.75" hidden="1" customHeight="1" x14ac:dyDescent="0.2"/>
    <row r="60" spans="1:18" ht="12.75" hidden="1" customHeight="1" x14ac:dyDescent="0.2"/>
    <row r="61" spans="1:18" ht="12.75" hidden="1" customHeight="1" x14ac:dyDescent="0.2"/>
    <row r="62" spans="1:18" ht="12.75" hidden="1" customHeight="1" x14ac:dyDescent="0.2"/>
    <row r="63" spans="1:18" ht="12.75" hidden="1" customHeight="1" x14ac:dyDescent="0.2"/>
    <row r="64" spans="1:18"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row r="74" ht="12.75" hidden="1" customHeight="1" x14ac:dyDescent="0.2"/>
    <row r="75" ht="12.75" hidden="1" customHeight="1" x14ac:dyDescent="0.2"/>
    <row r="76" ht="12.75" hidden="1" customHeight="1" x14ac:dyDescent="0.2"/>
    <row r="77" ht="12.75" hidden="1" customHeight="1"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sheetData>
  <mergeCells count="117">
    <mergeCell ref="A1:O1"/>
    <mergeCell ref="A5:R5"/>
    <mergeCell ref="Q6:Q7"/>
    <mergeCell ref="P6:P7"/>
    <mergeCell ref="R6:R7"/>
    <mergeCell ref="P8:P9"/>
    <mergeCell ref="Q8:Q9"/>
    <mergeCell ref="R8:R9"/>
    <mergeCell ref="P10:P11"/>
    <mergeCell ref="Q10:Q11"/>
    <mergeCell ref="R10:R11"/>
    <mergeCell ref="L6:L7"/>
    <mergeCell ref="M6:M7"/>
    <mergeCell ref="N6:N7"/>
    <mergeCell ref="O6:O7"/>
    <mergeCell ref="G6:G7"/>
    <mergeCell ref="K8:K9"/>
    <mergeCell ref="L8:L9"/>
    <mergeCell ref="M8:M9"/>
    <mergeCell ref="A8:A9"/>
    <mergeCell ref="D8:D9"/>
    <mergeCell ref="E8:E9"/>
    <mergeCell ref="A6:A7"/>
    <mergeCell ref="D6:D7"/>
    <mergeCell ref="P12:P13"/>
    <mergeCell ref="Q12:Q13"/>
    <mergeCell ref="R12:R13"/>
    <mergeCell ref="E18:E19"/>
    <mergeCell ref="F18:F19"/>
    <mergeCell ref="H18:H19"/>
    <mergeCell ref="D18:D19"/>
    <mergeCell ref="G18:G19"/>
    <mergeCell ref="A33:R33"/>
    <mergeCell ref="A17:R17"/>
    <mergeCell ref="A24:R24"/>
    <mergeCell ref="P20:P21"/>
    <mergeCell ref="Q20:Q21"/>
    <mergeCell ref="R20:R21"/>
    <mergeCell ref="N18:N19"/>
    <mergeCell ref="O18:O19"/>
    <mergeCell ref="I18:I19"/>
    <mergeCell ref="J18:J19"/>
    <mergeCell ref="G14:G15"/>
    <mergeCell ref="B18:B19"/>
    <mergeCell ref="O12:O13"/>
    <mergeCell ref="A14:A15"/>
    <mergeCell ref="D14:D15"/>
    <mergeCell ref="E14:E15"/>
    <mergeCell ref="E6:E7"/>
    <mergeCell ref="F6:F7"/>
    <mergeCell ref="H6:H7"/>
    <mergeCell ref="I6:I7"/>
    <mergeCell ref="J6:J7"/>
    <mergeCell ref="K6:K7"/>
    <mergeCell ref="N12:N13"/>
    <mergeCell ref="F8:F9"/>
    <mergeCell ref="H8:H9"/>
    <mergeCell ref="N8:N9"/>
    <mergeCell ref="G12:G13"/>
    <mergeCell ref="I12:I13"/>
    <mergeCell ref="J12:J13"/>
    <mergeCell ref="K12:K13"/>
    <mergeCell ref="L12:L13"/>
    <mergeCell ref="M12:M13"/>
    <mergeCell ref="N14:N15"/>
    <mergeCell ref="O14:O15"/>
    <mergeCell ref="O8:O9"/>
    <mergeCell ref="A10:A11"/>
    <mergeCell ref="D10:D11"/>
    <mergeCell ref="E10:E11"/>
    <mergeCell ref="F10:F11"/>
    <mergeCell ref="H10:H11"/>
    <mergeCell ref="I10:I11"/>
    <mergeCell ref="J10:J11"/>
    <mergeCell ref="K10:K11"/>
    <mergeCell ref="L10:L11"/>
    <mergeCell ref="M10:M11"/>
    <mergeCell ref="N10:N11"/>
    <mergeCell ref="O10:O11"/>
    <mergeCell ref="I8:I9"/>
    <mergeCell ref="J8:J9"/>
    <mergeCell ref="A3:R3"/>
    <mergeCell ref="A58:F58"/>
    <mergeCell ref="P18:R19"/>
    <mergeCell ref="P45:R45"/>
    <mergeCell ref="P22:R22"/>
    <mergeCell ref="M20:M21"/>
    <mergeCell ref="N20:N21"/>
    <mergeCell ref="O20:O21"/>
    <mergeCell ref="H20:H21"/>
    <mergeCell ref="I20:I21"/>
    <mergeCell ref="J20:J21"/>
    <mergeCell ref="K20:K21"/>
    <mergeCell ref="L20:L21"/>
    <mergeCell ref="A20:A21"/>
    <mergeCell ref="C20:C21"/>
    <mergeCell ref="D20:D21"/>
    <mergeCell ref="E20:E21"/>
    <mergeCell ref="F20:F21"/>
    <mergeCell ref="G20:G21"/>
    <mergeCell ref="F14:F15"/>
    <mergeCell ref="H14:H15"/>
    <mergeCell ref="I14:I15"/>
    <mergeCell ref="J14:J15"/>
    <mergeCell ref="K14:K15"/>
    <mergeCell ref="B20:B21"/>
    <mergeCell ref="K18:K19"/>
    <mergeCell ref="L18:L19"/>
    <mergeCell ref="M18:M19"/>
    <mergeCell ref="A18:A19"/>
    <mergeCell ref="A12:A13"/>
    <mergeCell ref="D12:D13"/>
    <mergeCell ref="E12:E13"/>
    <mergeCell ref="F12:F13"/>
    <mergeCell ref="H12:H13"/>
    <mergeCell ref="L14:L15"/>
    <mergeCell ref="M14:M15"/>
  </mergeCells>
  <dataValidations count="4">
    <dataValidation type="list" allowBlank="1" showInputMessage="1" showErrorMessage="1" sqref="L3:L52 N3:N52">
      <formula1>ListYN</formula1>
    </dataValidation>
    <dataValidation type="list" allowBlank="1" showInputMessage="1" showErrorMessage="1" sqref="I3:I52">
      <formula1>ListExempt</formula1>
    </dataValidation>
    <dataValidation type="list" allowBlank="1" showInputMessage="1" showErrorMessage="1" sqref="H3:H52">
      <formula1>ListOver8500</formula1>
    </dataValidation>
    <dataValidation type="list" allowBlank="1" showInputMessage="1" showErrorMessage="1" sqref="G3:G52">
      <formula1>ListDriveSystem</formula1>
    </dataValidation>
  </dataValidations>
  <pageMargins left="0.75" right="0.75" top="1" bottom="1" header="0.5" footer="0.5"/>
  <pageSetup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8000"/>
    <pageSetUpPr fitToPage="1"/>
  </sheetPr>
  <dimension ref="A1:P10"/>
  <sheetViews>
    <sheetView showGridLines="0" topLeftCell="C1" zoomScaleNormal="100" workbookViewId="0">
      <selection activeCell="C4" sqref="C4:N4"/>
    </sheetView>
  </sheetViews>
  <sheetFormatPr defaultColWidth="0" defaultRowHeight="12.75" zeroHeight="1" x14ac:dyDescent="0.2"/>
  <cols>
    <col min="1" max="1" width="3.42578125" style="118" customWidth="1"/>
    <col min="2" max="2" width="5.140625" style="118" customWidth="1"/>
    <col min="3" max="3" width="22.28515625" style="118" customWidth="1"/>
    <col min="4" max="4" width="14.5703125" style="118" customWidth="1"/>
    <col min="5" max="5" width="11.42578125" style="118" customWidth="1"/>
    <col min="6" max="7" width="14.7109375" style="118" customWidth="1"/>
    <col min="8" max="8" width="12.5703125" style="118" customWidth="1"/>
    <col min="9" max="9" width="14" style="118" customWidth="1"/>
    <col min="10" max="10" width="17.42578125" style="118" customWidth="1"/>
    <col min="11" max="12" width="15.140625" style="118" customWidth="1"/>
    <col min="13" max="14" width="14.140625" style="118" customWidth="1"/>
    <col min="15" max="15" width="3.7109375" style="118" customWidth="1"/>
    <col min="16" max="16" width="4.5703125" style="118" customWidth="1"/>
    <col min="17" max="16384" width="9.140625" style="118" hidden="1"/>
  </cols>
  <sheetData>
    <row r="1" spans="2:15" ht="13.5" thickBot="1" x14ac:dyDescent="0.25"/>
    <row r="2" spans="2:15" x14ac:dyDescent="0.2">
      <c r="B2" s="119"/>
      <c r="C2" s="120"/>
      <c r="D2" s="120"/>
      <c r="E2" s="120"/>
      <c r="F2" s="120"/>
      <c r="G2" s="120"/>
      <c r="H2" s="120"/>
      <c r="I2" s="120"/>
      <c r="J2" s="120"/>
      <c r="K2" s="120"/>
      <c r="L2" s="120"/>
      <c r="M2" s="120"/>
      <c r="N2" s="120"/>
      <c r="O2" s="121"/>
    </row>
    <row r="3" spans="2:15" ht="24.75" customHeight="1" x14ac:dyDescent="0.25">
      <c r="B3" s="122"/>
      <c r="C3" s="874" t="s">
        <v>465</v>
      </c>
      <c r="D3" s="874"/>
      <c r="E3" s="874"/>
      <c r="F3" s="874"/>
      <c r="G3" s="874"/>
      <c r="H3" s="874"/>
      <c r="I3" s="874"/>
      <c r="J3" s="874"/>
      <c r="K3" s="874"/>
      <c r="L3" s="874"/>
      <c r="M3" s="874"/>
      <c r="N3" s="874"/>
      <c r="O3" s="124"/>
    </row>
    <row r="4" spans="2:15" s="210" customFormat="1" ht="25.5" customHeight="1" thickBot="1" x14ac:dyDescent="0.25">
      <c r="B4" s="208"/>
      <c r="C4" s="875" t="s">
        <v>466</v>
      </c>
      <c r="D4" s="875"/>
      <c r="E4" s="875"/>
      <c r="F4" s="875"/>
      <c r="G4" s="875"/>
      <c r="H4" s="875"/>
      <c r="I4" s="875"/>
      <c r="J4" s="875"/>
      <c r="K4" s="875"/>
      <c r="L4" s="875"/>
      <c r="M4" s="875"/>
      <c r="N4" s="875"/>
      <c r="O4" s="209"/>
    </row>
    <row r="5" spans="2:15" ht="63.75" x14ac:dyDescent="0.2">
      <c r="B5" s="122"/>
      <c r="C5" s="11" t="s">
        <v>92</v>
      </c>
      <c r="D5" s="12" t="s">
        <v>93</v>
      </c>
      <c r="E5" s="12" t="s">
        <v>94</v>
      </c>
      <c r="F5" s="12" t="s">
        <v>95</v>
      </c>
      <c r="G5" s="12" t="s">
        <v>125</v>
      </c>
      <c r="H5" s="12" t="s">
        <v>173</v>
      </c>
      <c r="I5" s="12" t="s">
        <v>127</v>
      </c>
      <c r="J5" s="12" t="s">
        <v>490</v>
      </c>
      <c r="K5" s="409" t="s">
        <v>96</v>
      </c>
      <c r="L5" s="410" t="s">
        <v>463</v>
      </c>
      <c r="M5" s="410" t="s">
        <v>198</v>
      </c>
      <c r="N5" s="411" t="s">
        <v>449</v>
      </c>
      <c r="O5" s="124"/>
    </row>
    <row r="6" spans="2:15" ht="36.75" customHeight="1" x14ac:dyDescent="0.2">
      <c r="B6" s="122"/>
      <c r="C6" s="412" t="s">
        <v>97</v>
      </c>
      <c r="D6" s="413" t="s">
        <v>98</v>
      </c>
      <c r="E6" s="413">
        <v>2013</v>
      </c>
      <c r="F6" s="413" t="s">
        <v>179</v>
      </c>
      <c r="G6" s="413" t="s">
        <v>126</v>
      </c>
      <c r="H6" s="413" t="s">
        <v>128</v>
      </c>
      <c r="I6" s="414" t="s">
        <v>129</v>
      </c>
      <c r="J6" s="415">
        <v>43</v>
      </c>
      <c r="K6" s="416" t="s">
        <v>99</v>
      </c>
      <c r="L6" s="413" t="s">
        <v>267</v>
      </c>
      <c r="M6" s="413" t="s">
        <v>491</v>
      </c>
      <c r="N6" s="416"/>
      <c r="O6" s="124"/>
    </row>
    <row r="7" spans="2:15" ht="29.25" customHeight="1" x14ac:dyDescent="0.2">
      <c r="B7" s="122"/>
      <c r="C7" s="417" t="s">
        <v>180</v>
      </c>
      <c r="D7" s="418" t="s">
        <v>174</v>
      </c>
      <c r="E7" s="418">
        <v>2011</v>
      </c>
      <c r="F7" s="418" t="s">
        <v>178</v>
      </c>
      <c r="G7" s="418" t="s">
        <v>126</v>
      </c>
      <c r="H7" s="418" t="s">
        <v>175</v>
      </c>
      <c r="I7" s="418" t="s">
        <v>176</v>
      </c>
      <c r="J7" s="418">
        <v>14</v>
      </c>
      <c r="K7" s="419" t="s">
        <v>177</v>
      </c>
      <c r="L7" s="418"/>
      <c r="M7" s="418"/>
      <c r="N7" s="419"/>
      <c r="O7" s="124"/>
    </row>
    <row r="8" spans="2:15" ht="36.75" customHeight="1" thickBot="1" x14ac:dyDescent="0.25">
      <c r="B8" s="122"/>
      <c r="C8" s="420" t="s">
        <v>180</v>
      </c>
      <c r="D8" s="421" t="s">
        <v>174</v>
      </c>
      <c r="E8" s="421">
        <v>1999</v>
      </c>
      <c r="F8" s="421"/>
      <c r="G8" s="421" t="s">
        <v>126</v>
      </c>
      <c r="H8" s="421" t="s">
        <v>128</v>
      </c>
      <c r="I8" s="422" t="s">
        <v>129</v>
      </c>
      <c r="J8" s="423">
        <v>13</v>
      </c>
      <c r="K8" s="424" t="s">
        <v>181</v>
      </c>
      <c r="L8" s="421"/>
      <c r="M8" s="421"/>
      <c r="N8" s="424" t="s">
        <v>267</v>
      </c>
      <c r="O8" s="124"/>
    </row>
    <row r="9" spans="2:15" ht="13.5" thickBot="1" x14ac:dyDescent="0.25">
      <c r="B9" s="133"/>
      <c r="C9" s="184"/>
      <c r="D9" s="184"/>
      <c r="E9" s="184"/>
      <c r="F9" s="184"/>
      <c r="G9" s="184"/>
      <c r="H9" s="184"/>
      <c r="I9" s="184"/>
      <c r="J9" s="184"/>
      <c r="K9" s="184"/>
      <c r="L9" s="184"/>
      <c r="M9" s="184"/>
      <c r="N9" s="184"/>
      <c r="O9" s="135"/>
    </row>
    <row r="10" spans="2:15" x14ac:dyDescent="0.2"/>
  </sheetData>
  <sheetProtection password="CFCB" sheet="1" objects="1" scenarios="1"/>
  <mergeCells count="2">
    <mergeCell ref="C3:N3"/>
    <mergeCell ref="C4:N4"/>
  </mergeCells>
  <phoneticPr fontId="16" type="noConversion"/>
  <dataValidations count="4">
    <dataValidation type="list" allowBlank="1" showInputMessage="1" showErrorMessage="1" sqref="G6:G8">
      <formula1>ListDriveSystem</formula1>
    </dataValidation>
    <dataValidation type="list" allowBlank="1" showInputMessage="1" showErrorMessage="1" sqref="H6:H8">
      <formula1>ListOver8500</formula1>
    </dataValidation>
    <dataValidation type="list" allowBlank="1" showInputMessage="1" showErrorMessage="1" sqref="I6:I8">
      <formula1>ListExempt</formula1>
    </dataValidation>
    <dataValidation type="list" allowBlank="1" showInputMessage="1" showErrorMessage="1" sqref="N6:N8 L6:L8">
      <formula1>ListYN</formula1>
    </dataValidation>
  </dataValidations>
  <hyperlinks>
    <hyperlink ref="C4:N4" location="'Crit 4 - Table 6 Vehicle Inv.'!A1" display="Click here to return to Table 6"/>
  </hyperlinks>
  <pageMargins left="0.75" right="0.75" top="1" bottom="1" header="0.5" footer="0.5"/>
  <pageSetup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I141"/>
  <sheetViews>
    <sheetView showGridLines="0" topLeftCell="A13" workbookViewId="0">
      <selection activeCell="F63" sqref="F63"/>
    </sheetView>
  </sheetViews>
  <sheetFormatPr defaultColWidth="0" defaultRowHeight="12.75" zeroHeight="1" x14ac:dyDescent="0.2"/>
  <cols>
    <col min="1" max="1" width="2.7109375" style="118" customWidth="1"/>
    <col min="2" max="2" width="5.28515625" style="118" customWidth="1"/>
    <col min="3" max="3" width="31.5703125" style="118" customWidth="1"/>
    <col min="4" max="4" width="28.42578125" style="118" customWidth="1"/>
    <col min="5" max="5" width="24" style="118" customWidth="1"/>
    <col min="6" max="6" width="21.5703125" style="118" customWidth="1"/>
    <col min="7" max="7" width="22.42578125" style="118" customWidth="1"/>
    <col min="8" max="8" width="8.85546875" style="118" customWidth="1"/>
    <col min="9" max="9" width="3.28515625" style="118" customWidth="1"/>
    <col min="10" max="16384" width="8.85546875" style="118" hidden="1"/>
  </cols>
  <sheetData>
    <row r="1" spans="2:8" ht="13.5" thickBot="1" x14ac:dyDescent="0.25"/>
    <row r="2" spans="2:8" x14ac:dyDescent="0.2">
      <c r="B2" s="119"/>
      <c r="C2" s="120"/>
      <c r="D2" s="120"/>
      <c r="E2" s="120"/>
      <c r="F2" s="120"/>
      <c r="G2" s="120"/>
      <c r="H2" s="121"/>
    </row>
    <row r="3" spans="2:8" x14ac:dyDescent="0.2">
      <c r="B3" s="122"/>
      <c r="C3" s="123" t="s">
        <v>113</v>
      </c>
      <c r="D3" s="31"/>
      <c r="E3" s="31"/>
      <c r="F3" s="31"/>
      <c r="G3" s="31"/>
      <c r="H3" s="124"/>
    </row>
    <row r="4" spans="2:8" ht="13.5" thickBot="1" x14ac:dyDescent="0.25">
      <c r="B4" s="122"/>
      <c r="C4" s="125"/>
      <c r="D4" s="31"/>
      <c r="E4" s="202"/>
      <c r="F4" s="202"/>
      <c r="G4" s="31"/>
      <c r="H4" s="124"/>
    </row>
    <row r="5" spans="2:8" ht="15" customHeight="1" thickBot="1" x14ac:dyDescent="0.25">
      <c r="B5" s="122"/>
      <c r="C5" s="877" t="s">
        <v>114</v>
      </c>
      <c r="D5" s="877"/>
      <c r="E5" s="202"/>
      <c r="F5" s="441"/>
      <c r="G5" s="486">
        <v>40725</v>
      </c>
      <c r="H5" s="124"/>
    </row>
    <row r="6" spans="2:8" ht="16.5" thickBot="1" x14ac:dyDescent="0.25">
      <c r="B6" s="127"/>
      <c r="C6" s="128"/>
      <c r="D6" s="129"/>
      <c r="E6" s="202"/>
      <c r="F6" s="441"/>
      <c r="G6" s="130"/>
      <c r="H6" s="131"/>
    </row>
    <row r="7" spans="2:8" ht="14.45" customHeight="1" thickBot="1" x14ac:dyDescent="0.25">
      <c r="B7" s="122"/>
      <c r="C7" s="877" t="s">
        <v>115</v>
      </c>
      <c r="D7" s="877"/>
      <c r="E7" s="202"/>
      <c r="F7" s="441"/>
      <c r="G7" s="486">
        <v>40909</v>
      </c>
      <c r="H7" s="124"/>
    </row>
    <row r="8" spans="2:8" ht="14.45" customHeight="1" thickBot="1" x14ac:dyDescent="0.25">
      <c r="B8" s="122"/>
      <c r="C8" s="437"/>
      <c r="D8" s="442"/>
      <c r="E8" s="443"/>
      <c r="F8" s="130"/>
      <c r="G8" s="126"/>
      <c r="H8" s="124"/>
    </row>
    <row r="9" spans="2:8" ht="14.45" customHeight="1" thickBot="1" x14ac:dyDescent="0.25">
      <c r="B9" s="122"/>
      <c r="C9" s="877" t="s">
        <v>482</v>
      </c>
      <c r="D9" s="877"/>
      <c r="E9" s="877"/>
      <c r="F9" s="130"/>
      <c r="G9" s="248" t="s">
        <v>267</v>
      </c>
      <c r="H9" s="124"/>
    </row>
    <row r="10" spans="2:8" x14ac:dyDescent="0.2">
      <c r="B10" s="122"/>
      <c r="C10" s="132"/>
      <c r="D10" s="126"/>
      <c r="E10" s="126"/>
      <c r="F10" s="126"/>
      <c r="G10" s="126"/>
      <c r="H10" s="124"/>
    </row>
    <row r="11" spans="2:8" ht="15" customHeight="1" x14ac:dyDescent="0.2">
      <c r="B11" s="122"/>
      <c r="C11" s="876" t="s">
        <v>479</v>
      </c>
      <c r="D11" s="876"/>
      <c r="E11" s="876"/>
      <c r="F11" s="876"/>
      <c r="G11" s="876"/>
      <c r="H11" s="124"/>
    </row>
    <row r="12" spans="2:8" x14ac:dyDescent="0.2">
      <c r="B12" s="122"/>
      <c r="C12" s="876"/>
      <c r="D12" s="876"/>
      <c r="E12" s="876"/>
      <c r="F12" s="876"/>
      <c r="G12" s="876"/>
      <c r="H12" s="124"/>
    </row>
    <row r="13" spans="2:8" ht="57.6" customHeight="1" thickBot="1" x14ac:dyDescent="0.25">
      <c r="B13" s="122"/>
      <c r="C13" s="876"/>
      <c r="D13" s="876"/>
      <c r="E13" s="876"/>
      <c r="F13" s="876"/>
      <c r="G13" s="876"/>
      <c r="H13" s="124"/>
    </row>
    <row r="14" spans="2:8" ht="39" customHeight="1" thickBot="1" x14ac:dyDescent="0.3">
      <c r="B14" s="122"/>
      <c r="C14" s="761" t="s">
        <v>478</v>
      </c>
      <c r="D14" s="763"/>
      <c r="E14" s="763"/>
      <c r="F14" s="763"/>
      <c r="G14" s="762"/>
      <c r="H14" s="124"/>
    </row>
    <row r="15" spans="2:8" ht="51" x14ac:dyDescent="0.2">
      <c r="B15" s="122"/>
      <c r="C15" s="11" t="s">
        <v>100</v>
      </c>
      <c r="D15" s="12" t="s">
        <v>102</v>
      </c>
      <c r="E15" s="12" t="s">
        <v>101</v>
      </c>
      <c r="F15" s="12" t="s">
        <v>116</v>
      </c>
      <c r="G15" s="409" t="s">
        <v>182</v>
      </c>
      <c r="H15" s="124"/>
    </row>
    <row r="16" spans="2:8" x14ac:dyDescent="0.2">
      <c r="B16" s="122"/>
      <c r="C16" s="686" t="s">
        <v>844</v>
      </c>
      <c r="D16" s="679" t="s">
        <v>467</v>
      </c>
      <c r="E16" s="678">
        <v>41827</v>
      </c>
      <c r="F16" s="679" t="s">
        <v>29</v>
      </c>
      <c r="G16" s="677"/>
      <c r="H16" s="124"/>
    </row>
    <row r="17" spans="2:8" x14ac:dyDescent="0.2">
      <c r="B17" s="122"/>
      <c r="C17" s="686" t="s">
        <v>845</v>
      </c>
      <c r="D17" s="679" t="s">
        <v>467</v>
      </c>
      <c r="E17" s="678">
        <v>41827</v>
      </c>
      <c r="F17" s="679" t="s">
        <v>29</v>
      </c>
      <c r="G17" s="677"/>
      <c r="H17" s="124"/>
    </row>
    <row r="18" spans="2:8" x14ac:dyDescent="0.2">
      <c r="B18" s="122"/>
      <c r="C18" s="686" t="s">
        <v>838</v>
      </c>
      <c r="D18" s="679" t="s">
        <v>467</v>
      </c>
      <c r="E18" s="678">
        <v>41813</v>
      </c>
      <c r="F18" s="679" t="s">
        <v>29</v>
      </c>
      <c r="G18" s="677"/>
      <c r="H18" s="124"/>
    </row>
    <row r="19" spans="2:8" x14ac:dyDescent="0.2">
      <c r="B19" s="122"/>
      <c r="C19" s="686" t="s">
        <v>839</v>
      </c>
      <c r="D19" s="679" t="s">
        <v>467</v>
      </c>
      <c r="E19" s="678">
        <v>41778</v>
      </c>
      <c r="F19" s="679" t="s">
        <v>29</v>
      </c>
      <c r="G19" s="677"/>
      <c r="H19" s="124"/>
    </row>
    <row r="20" spans="2:8" x14ac:dyDescent="0.2">
      <c r="B20" s="122"/>
      <c r="C20" s="686" t="s">
        <v>840</v>
      </c>
      <c r="D20" s="679" t="s">
        <v>467</v>
      </c>
      <c r="E20" s="678">
        <v>41722</v>
      </c>
      <c r="F20" s="679" t="s">
        <v>29</v>
      </c>
      <c r="G20" s="677"/>
      <c r="H20" s="124"/>
    </row>
    <row r="21" spans="2:8" x14ac:dyDescent="0.2">
      <c r="B21" s="122"/>
      <c r="C21" s="686" t="s">
        <v>841</v>
      </c>
      <c r="D21" s="679" t="s">
        <v>467</v>
      </c>
      <c r="E21" s="678">
        <v>41673</v>
      </c>
      <c r="F21" s="679" t="s">
        <v>842</v>
      </c>
      <c r="G21" s="677"/>
      <c r="H21" s="124"/>
    </row>
    <row r="22" spans="2:8" x14ac:dyDescent="0.2">
      <c r="B22" s="122"/>
      <c r="C22" s="686" t="s">
        <v>843</v>
      </c>
      <c r="D22" s="679" t="s">
        <v>467</v>
      </c>
      <c r="E22" s="678">
        <v>41666</v>
      </c>
      <c r="F22" s="679" t="s">
        <v>29</v>
      </c>
      <c r="G22" s="677"/>
      <c r="H22" s="124"/>
    </row>
    <row r="23" spans="2:8" x14ac:dyDescent="0.2">
      <c r="B23" s="122"/>
      <c r="C23" s="686" t="s">
        <v>846</v>
      </c>
      <c r="D23" s="679" t="s">
        <v>467</v>
      </c>
      <c r="E23" s="678">
        <v>41596</v>
      </c>
      <c r="F23" s="679" t="s">
        <v>842</v>
      </c>
      <c r="G23" s="677"/>
      <c r="H23" s="124"/>
    </row>
    <row r="24" spans="2:8" x14ac:dyDescent="0.2">
      <c r="B24" s="122"/>
      <c r="C24" s="686" t="s">
        <v>849</v>
      </c>
      <c r="D24" s="679" t="s">
        <v>467</v>
      </c>
      <c r="E24" s="678">
        <v>41484</v>
      </c>
      <c r="F24" s="679" t="s">
        <v>29</v>
      </c>
      <c r="G24" s="677"/>
      <c r="H24" s="124"/>
    </row>
    <row r="25" spans="2:8" x14ac:dyDescent="0.2">
      <c r="B25" s="122"/>
      <c r="C25" s="686" t="s">
        <v>850</v>
      </c>
      <c r="D25" s="679" t="s">
        <v>467</v>
      </c>
      <c r="E25" s="678">
        <v>41484</v>
      </c>
      <c r="F25" s="679" t="s">
        <v>29</v>
      </c>
      <c r="G25" s="677"/>
      <c r="H25" s="124"/>
    </row>
    <row r="26" spans="2:8" x14ac:dyDescent="0.2">
      <c r="B26" s="122"/>
      <c r="C26" s="686" t="s">
        <v>847</v>
      </c>
      <c r="D26" s="679" t="s">
        <v>467</v>
      </c>
      <c r="E26" s="678">
        <v>41386</v>
      </c>
      <c r="F26" s="679" t="s">
        <v>29</v>
      </c>
      <c r="G26" s="677"/>
      <c r="H26" s="124"/>
    </row>
    <row r="27" spans="2:8" x14ac:dyDescent="0.2">
      <c r="B27" s="122"/>
      <c r="C27" s="686" t="s">
        <v>848</v>
      </c>
      <c r="D27" s="679" t="s">
        <v>467</v>
      </c>
      <c r="E27" s="678">
        <v>41373</v>
      </c>
      <c r="F27" s="679" t="s">
        <v>29</v>
      </c>
      <c r="G27" s="677"/>
      <c r="H27" s="124"/>
    </row>
    <row r="28" spans="2:8" ht="36.75" customHeight="1" thickBot="1" x14ac:dyDescent="0.25">
      <c r="B28" s="122"/>
      <c r="C28" s="404" t="s">
        <v>452</v>
      </c>
      <c r="D28" s="425"/>
      <c r="E28" s="425"/>
      <c r="F28" s="425"/>
      <c r="G28" s="426"/>
      <c r="H28" s="124"/>
    </row>
    <row r="29" spans="2:8" x14ac:dyDescent="0.2">
      <c r="B29" s="122"/>
      <c r="C29" s="680" t="s">
        <v>698</v>
      </c>
      <c r="D29" s="681" t="s">
        <v>467</v>
      </c>
      <c r="E29" s="682">
        <v>41239</v>
      </c>
      <c r="F29" s="681" t="s">
        <v>175</v>
      </c>
      <c r="G29" s="487"/>
      <c r="H29" s="124"/>
    </row>
    <row r="30" spans="2:8" x14ac:dyDescent="0.2">
      <c r="B30" s="122"/>
      <c r="C30" s="683" t="s">
        <v>699</v>
      </c>
      <c r="D30" s="684" t="s">
        <v>467</v>
      </c>
      <c r="E30" s="685">
        <v>41176</v>
      </c>
      <c r="F30" s="684" t="s">
        <v>175</v>
      </c>
      <c r="G30" s="488"/>
      <c r="H30" s="124"/>
    </row>
    <row r="31" spans="2:8" x14ac:dyDescent="0.2">
      <c r="B31" s="122"/>
      <c r="C31" s="680" t="s">
        <v>700</v>
      </c>
      <c r="D31" s="681" t="s">
        <v>467</v>
      </c>
      <c r="E31" s="682">
        <v>41232</v>
      </c>
      <c r="F31" s="681" t="s">
        <v>175</v>
      </c>
      <c r="G31" s="487"/>
      <c r="H31" s="124"/>
    </row>
    <row r="32" spans="2:8" x14ac:dyDescent="0.2">
      <c r="B32" s="122"/>
      <c r="C32" s="680" t="s">
        <v>701</v>
      </c>
      <c r="D32" s="681" t="s">
        <v>467</v>
      </c>
      <c r="E32" s="682">
        <v>41176</v>
      </c>
      <c r="F32" s="681" t="s">
        <v>175</v>
      </c>
      <c r="G32" s="487"/>
      <c r="H32" s="124"/>
    </row>
    <row r="33" spans="2:8" x14ac:dyDescent="0.2">
      <c r="B33" s="122"/>
      <c r="C33" s="680" t="s">
        <v>702</v>
      </c>
      <c r="D33" s="681" t="s">
        <v>467</v>
      </c>
      <c r="E33" s="682">
        <v>41134</v>
      </c>
      <c r="F33" s="681" t="s">
        <v>175</v>
      </c>
      <c r="G33" s="487"/>
      <c r="H33" s="124"/>
    </row>
    <row r="34" spans="2:8" x14ac:dyDescent="0.2">
      <c r="B34" s="122"/>
      <c r="C34" s="680" t="s">
        <v>703</v>
      </c>
      <c r="D34" s="681" t="s">
        <v>467</v>
      </c>
      <c r="E34" s="682">
        <v>40994</v>
      </c>
      <c r="F34" s="681" t="s">
        <v>175</v>
      </c>
      <c r="G34" s="487"/>
      <c r="H34" s="124"/>
    </row>
    <row r="35" spans="2:8" x14ac:dyDescent="0.2">
      <c r="B35" s="122"/>
      <c r="C35" s="680" t="s">
        <v>704</v>
      </c>
      <c r="D35" s="681" t="s">
        <v>467</v>
      </c>
      <c r="E35" s="682">
        <v>40994</v>
      </c>
      <c r="F35" s="681" t="s">
        <v>175</v>
      </c>
      <c r="G35" s="487"/>
      <c r="H35" s="124"/>
    </row>
    <row r="36" spans="2:8" x14ac:dyDescent="0.2">
      <c r="B36" s="122"/>
      <c r="C36" s="680" t="s">
        <v>705</v>
      </c>
      <c r="D36" s="681" t="s">
        <v>467</v>
      </c>
      <c r="E36" s="682">
        <v>40994</v>
      </c>
      <c r="F36" s="681" t="s">
        <v>175</v>
      </c>
      <c r="G36" s="487"/>
      <c r="H36" s="124"/>
    </row>
    <row r="37" spans="2:8" ht="13.5" thickBot="1" x14ac:dyDescent="0.25">
      <c r="B37" s="133"/>
      <c r="C37" s="134"/>
      <c r="D37" s="134"/>
      <c r="E37" s="134"/>
      <c r="F37" s="134"/>
      <c r="G37" s="134"/>
      <c r="H37" s="135"/>
    </row>
    <row r="38" spans="2:8" x14ac:dyDescent="0.2">
      <c r="C38" s="136"/>
      <c r="D38" s="136"/>
      <c r="E38" s="136"/>
      <c r="F38" s="136"/>
      <c r="G38" s="136"/>
    </row>
    <row r="39" spans="2:8" ht="12.75" hidden="1" customHeight="1" x14ac:dyDescent="0.2">
      <c r="C39" s="136"/>
      <c r="D39" s="136"/>
      <c r="E39" s="136"/>
      <c r="F39" s="136"/>
      <c r="G39" s="136"/>
    </row>
    <row r="40" spans="2:8" hidden="1" x14ac:dyDescent="0.2">
      <c r="C40" s="136"/>
      <c r="D40" s="136"/>
      <c r="E40" s="136"/>
      <c r="F40" s="136"/>
      <c r="G40" s="136"/>
    </row>
    <row r="41" spans="2:8" hidden="1" x14ac:dyDescent="0.2">
      <c r="C41" s="136"/>
      <c r="D41" s="136"/>
      <c r="E41" s="136"/>
      <c r="F41" s="136"/>
      <c r="G41" s="136"/>
    </row>
    <row r="42" spans="2:8" hidden="1" x14ac:dyDescent="0.2">
      <c r="C42" s="136"/>
      <c r="D42" s="136"/>
      <c r="E42" s="136"/>
      <c r="F42" s="136"/>
      <c r="G42" s="136"/>
    </row>
    <row r="43" spans="2:8" hidden="1" x14ac:dyDescent="0.2">
      <c r="C43" s="136"/>
      <c r="D43" s="136"/>
      <c r="E43" s="136"/>
      <c r="F43" s="136"/>
      <c r="G43" s="136"/>
    </row>
    <row r="44" spans="2:8" hidden="1" x14ac:dyDescent="0.2">
      <c r="C44" s="136"/>
      <c r="D44" s="136"/>
      <c r="E44" s="136"/>
      <c r="F44" s="136"/>
      <c r="G44" s="136"/>
    </row>
    <row r="45" spans="2:8" hidden="1" x14ac:dyDescent="0.2">
      <c r="C45" s="136"/>
      <c r="D45" s="136"/>
      <c r="E45" s="136"/>
      <c r="F45" s="136"/>
      <c r="G45" s="136"/>
    </row>
    <row r="46" spans="2:8" hidden="1" x14ac:dyDescent="0.2">
      <c r="C46" s="136"/>
      <c r="D46" s="136"/>
      <c r="E46" s="136"/>
      <c r="F46" s="136"/>
      <c r="G46" s="136"/>
    </row>
    <row r="47" spans="2:8" hidden="1" x14ac:dyDescent="0.2">
      <c r="C47" s="136"/>
      <c r="D47" s="136"/>
      <c r="E47" s="136"/>
      <c r="F47" s="136"/>
      <c r="G47" s="136"/>
    </row>
    <row r="48" spans="2:8" hidden="1" x14ac:dyDescent="0.2">
      <c r="C48" s="136"/>
      <c r="D48" s="136"/>
      <c r="E48" s="136"/>
      <c r="F48" s="136"/>
      <c r="G48" s="136"/>
    </row>
    <row r="49" spans="3:7" hidden="1" x14ac:dyDescent="0.2">
      <c r="C49" s="136"/>
      <c r="D49" s="136"/>
      <c r="E49" s="136"/>
      <c r="F49" s="136"/>
      <c r="G49" s="136"/>
    </row>
    <row r="50" spans="3:7" hidden="1" x14ac:dyDescent="0.2">
      <c r="C50" s="136"/>
      <c r="D50" s="136"/>
      <c r="E50" s="136"/>
      <c r="F50" s="136"/>
      <c r="G50" s="136"/>
    </row>
    <row r="51" spans="3:7" hidden="1" x14ac:dyDescent="0.2">
      <c r="C51" s="136"/>
      <c r="D51" s="136"/>
      <c r="E51" s="136"/>
      <c r="F51" s="136"/>
      <c r="G51" s="136"/>
    </row>
    <row r="52" spans="3:7" hidden="1" x14ac:dyDescent="0.2">
      <c r="C52" s="136"/>
      <c r="D52" s="136"/>
      <c r="E52" s="136"/>
      <c r="F52" s="136"/>
      <c r="G52" s="136"/>
    </row>
    <row r="53" spans="3:7" hidden="1" x14ac:dyDescent="0.2">
      <c r="C53" s="136"/>
      <c r="D53" s="136"/>
      <c r="E53" s="136"/>
      <c r="F53" s="136"/>
      <c r="G53" s="136"/>
    </row>
    <row r="54" spans="3:7" hidden="1" x14ac:dyDescent="0.2">
      <c r="C54" s="136"/>
      <c r="D54" s="136"/>
      <c r="E54" s="136"/>
      <c r="F54" s="136"/>
      <c r="G54" s="136"/>
    </row>
    <row r="55" spans="3:7" hidden="1" x14ac:dyDescent="0.2">
      <c r="C55" s="136"/>
      <c r="D55" s="136"/>
      <c r="E55" s="136"/>
      <c r="F55" s="136"/>
      <c r="G55" s="136"/>
    </row>
    <row r="56" spans="3:7" hidden="1" x14ac:dyDescent="0.2">
      <c r="C56" s="136"/>
      <c r="D56" s="136"/>
      <c r="E56" s="136"/>
      <c r="F56" s="136"/>
      <c r="G56" s="136"/>
    </row>
    <row r="57" spans="3:7" x14ac:dyDescent="0.2"/>
    <row r="58" spans="3:7" x14ac:dyDescent="0.2"/>
    <row r="59" spans="3:7" x14ac:dyDescent="0.2"/>
    <row r="60" spans="3:7" x14ac:dyDescent="0.2"/>
    <row r="61" spans="3:7" x14ac:dyDescent="0.2"/>
    <row r="62" spans="3:7" x14ac:dyDescent="0.2"/>
    <row r="63" spans="3:7" x14ac:dyDescent="0.2"/>
    <row r="64" spans="3:7"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sheetProtection formatRows="0" insertRows="0" deleteRows="0" selectLockedCells="1"/>
  <mergeCells count="5">
    <mergeCell ref="C11:G13"/>
    <mergeCell ref="C14:G14"/>
    <mergeCell ref="C5:D5"/>
    <mergeCell ref="C7:D7"/>
    <mergeCell ref="C9:E9"/>
  </mergeCells>
  <phoneticPr fontId="16" type="noConversion"/>
  <dataValidations count="2">
    <dataValidation type="list" allowBlank="1" showInputMessage="1" showErrorMessage="1" sqref="D28:D36">
      <formula1>ListStretch</formula1>
    </dataValidation>
    <dataValidation type="list" allowBlank="1" showInputMessage="1" showErrorMessage="1" sqref="G9">
      <formula1>ListYN</formula1>
    </dataValidation>
  </dataValidations>
  <pageMargins left="0.75" right="0.75" top="1" bottom="1" header="0.5" footer="0.5"/>
  <pageSetup scale="83"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H29"/>
  <sheetViews>
    <sheetView showGridLines="0" topLeftCell="B14" zoomScale="136" zoomScaleNormal="136" workbookViewId="0">
      <selection activeCell="C16" sqref="C16:F21"/>
    </sheetView>
  </sheetViews>
  <sheetFormatPr defaultColWidth="0" defaultRowHeight="12.75" zeroHeight="1" x14ac:dyDescent="0.2"/>
  <cols>
    <col min="1" max="1" width="3.7109375" style="48" customWidth="1"/>
    <col min="2" max="2" width="4" style="48" customWidth="1"/>
    <col min="3" max="3" width="31.5703125" style="48" customWidth="1"/>
    <col min="4" max="4" width="28.42578125" style="48" customWidth="1"/>
    <col min="5" max="5" width="40.28515625" style="48" customWidth="1"/>
    <col min="6" max="6" width="21.28515625" style="48" customWidth="1"/>
    <col min="7" max="7" width="3.140625" style="48" customWidth="1"/>
    <col min="8" max="8" width="4.28515625" style="48" customWidth="1"/>
    <col min="9" max="16384" width="9.140625" style="48" hidden="1"/>
  </cols>
  <sheetData>
    <row r="1" spans="2:7" ht="13.5" thickBot="1" x14ac:dyDescent="0.25"/>
    <row r="2" spans="2:7" x14ac:dyDescent="0.2">
      <c r="B2" s="36"/>
      <c r="C2" s="38"/>
      <c r="D2" s="38"/>
      <c r="E2" s="38"/>
      <c r="F2" s="38"/>
      <c r="G2" s="39"/>
    </row>
    <row r="3" spans="2:7" x14ac:dyDescent="0.2">
      <c r="B3" s="40"/>
      <c r="C3" s="83" t="s">
        <v>140</v>
      </c>
      <c r="D3" s="41"/>
      <c r="E3" s="41"/>
      <c r="F3" s="41"/>
      <c r="G3" s="42"/>
    </row>
    <row r="4" spans="2:7" x14ac:dyDescent="0.2">
      <c r="B4" s="40"/>
      <c r="C4" s="83"/>
      <c r="D4" s="41"/>
      <c r="E4" s="41"/>
      <c r="F4" s="41"/>
      <c r="G4" s="42"/>
    </row>
    <row r="5" spans="2:7" ht="32.450000000000003" customHeight="1" thickBot="1" x14ac:dyDescent="0.25">
      <c r="B5" s="40"/>
      <c r="C5" s="821" t="s">
        <v>202</v>
      </c>
      <c r="D5" s="821"/>
      <c r="E5" s="821"/>
      <c r="F5" s="821"/>
      <c r="G5" s="84"/>
    </row>
    <row r="6" spans="2:7" ht="57.75" customHeight="1" thickBot="1" x14ac:dyDescent="0.3">
      <c r="B6" s="40"/>
      <c r="C6" s="897" t="s">
        <v>870</v>
      </c>
      <c r="D6" s="898"/>
      <c r="E6" s="898"/>
      <c r="F6" s="899"/>
      <c r="G6" s="85"/>
    </row>
    <row r="7" spans="2:7" x14ac:dyDescent="0.2">
      <c r="B7" s="40"/>
      <c r="C7" s="7"/>
      <c r="D7" s="7"/>
      <c r="E7" s="7"/>
      <c r="F7" s="7"/>
      <c r="G7" s="86"/>
    </row>
    <row r="8" spans="2:7" ht="48.6" customHeight="1" thickBot="1" x14ac:dyDescent="0.25">
      <c r="B8" s="40"/>
      <c r="C8" s="807" t="s">
        <v>201</v>
      </c>
      <c r="D8" s="807"/>
      <c r="E8" s="807"/>
      <c r="F8" s="807"/>
      <c r="G8" s="87"/>
    </row>
    <row r="9" spans="2:7" ht="15" customHeight="1" x14ac:dyDescent="0.2">
      <c r="B9" s="40"/>
      <c r="C9" s="887" t="s">
        <v>869</v>
      </c>
      <c r="D9" s="888"/>
      <c r="E9" s="888"/>
      <c r="F9" s="889"/>
      <c r="G9" s="87"/>
    </row>
    <row r="10" spans="2:7" x14ac:dyDescent="0.2">
      <c r="B10" s="40"/>
      <c r="C10" s="890"/>
      <c r="D10" s="891"/>
      <c r="E10" s="891"/>
      <c r="F10" s="892"/>
      <c r="G10" s="87"/>
    </row>
    <row r="11" spans="2:7" x14ac:dyDescent="0.2">
      <c r="B11" s="40"/>
      <c r="C11" s="890"/>
      <c r="D11" s="891"/>
      <c r="E11" s="891"/>
      <c r="F11" s="892"/>
      <c r="G11" s="87"/>
    </row>
    <row r="12" spans="2:7" x14ac:dyDescent="0.2">
      <c r="B12" s="40"/>
      <c r="C12" s="890"/>
      <c r="D12" s="891"/>
      <c r="E12" s="891"/>
      <c r="F12" s="892"/>
      <c r="G12" s="87"/>
    </row>
    <row r="13" spans="2:7" ht="70.5" customHeight="1" thickBot="1" x14ac:dyDescent="0.25">
      <c r="B13" s="40"/>
      <c r="C13" s="893"/>
      <c r="D13" s="894"/>
      <c r="E13" s="894"/>
      <c r="F13" s="895"/>
      <c r="G13" s="87"/>
    </row>
    <row r="14" spans="2:7" x14ac:dyDescent="0.2">
      <c r="B14" s="40"/>
      <c r="C14" s="24"/>
      <c r="D14" s="24"/>
      <c r="E14" s="24"/>
      <c r="F14" s="24"/>
      <c r="G14" s="87"/>
    </row>
    <row r="15" spans="2:7" ht="39" customHeight="1" thickBot="1" x14ac:dyDescent="0.25">
      <c r="B15" s="40"/>
      <c r="C15" s="896" t="s">
        <v>200</v>
      </c>
      <c r="D15" s="896"/>
      <c r="E15" s="896"/>
      <c r="F15" s="896"/>
      <c r="G15" s="87"/>
    </row>
    <row r="16" spans="2:7" x14ac:dyDescent="0.2">
      <c r="B16" s="40"/>
      <c r="C16" s="878" t="s">
        <v>871</v>
      </c>
      <c r="D16" s="879"/>
      <c r="E16" s="879"/>
      <c r="F16" s="880"/>
      <c r="G16" s="87"/>
    </row>
    <row r="17" spans="2:7" x14ac:dyDescent="0.2">
      <c r="B17" s="40"/>
      <c r="C17" s="881"/>
      <c r="D17" s="882"/>
      <c r="E17" s="882"/>
      <c r="F17" s="883"/>
      <c r="G17" s="87"/>
    </row>
    <row r="18" spans="2:7" x14ac:dyDescent="0.2">
      <c r="B18" s="40"/>
      <c r="C18" s="881"/>
      <c r="D18" s="882"/>
      <c r="E18" s="882"/>
      <c r="F18" s="883"/>
      <c r="G18" s="87"/>
    </row>
    <row r="19" spans="2:7" x14ac:dyDescent="0.2">
      <c r="B19" s="40"/>
      <c r="C19" s="881"/>
      <c r="D19" s="882"/>
      <c r="E19" s="882"/>
      <c r="F19" s="883"/>
      <c r="G19" s="87"/>
    </row>
    <row r="20" spans="2:7" x14ac:dyDescent="0.2">
      <c r="B20" s="40"/>
      <c r="C20" s="881"/>
      <c r="D20" s="882"/>
      <c r="E20" s="882"/>
      <c r="F20" s="883"/>
      <c r="G20" s="87"/>
    </row>
    <row r="21" spans="2:7" ht="13.5" thickBot="1" x14ac:dyDescent="0.25">
      <c r="B21" s="40"/>
      <c r="C21" s="884"/>
      <c r="D21" s="885"/>
      <c r="E21" s="885"/>
      <c r="F21" s="886"/>
      <c r="G21" s="87"/>
    </row>
    <row r="22" spans="2:7" ht="13.5" thickBot="1" x14ac:dyDescent="0.25">
      <c r="B22" s="45"/>
      <c r="C22" s="88"/>
      <c r="D22" s="88"/>
      <c r="E22" s="88"/>
      <c r="F22" s="88"/>
      <c r="G22" s="89"/>
    </row>
    <row r="23" spans="2:7" x14ac:dyDescent="0.2">
      <c r="C23" s="90"/>
      <c r="D23" s="90"/>
      <c r="E23" s="90"/>
      <c r="F23" s="90"/>
      <c r="G23" s="90"/>
    </row>
    <row r="24" spans="2:7" hidden="1" x14ac:dyDescent="0.2">
      <c r="C24" s="90"/>
      <c r="D24" s="90"/>
      <c r="E24" s="90"/>
      <c r="F24" s="90"/>
      <c r="G24" s="90"/>
    </row>
    <row r="25" spans="2:7" hidden="1" x14ac:dyDescent="0.2">
      <c r="C25" s="90"/>
      <c r="D25" s="90"/>
      <c r="E25" s="90"/>
      <c r="F25" s="90"/>
      <c r="G25" s="90"/>
    </row>
    <row r="26" spans="2:7" hidden="1" x14ac:dyDescent="0.2">
      <c r="C26" s="90"/>
      <c r="D26" s="90"/>
      <c r="E26" s="90"/>
      <c r="F26" s="90"/>
      <c r="G26" s="90"/>
    </row>
    <row r="27" spans="2:7" hidden="1" x14ac:dyDescent="0.2">
      <c r="C27" s="90"/>
      <c r="D27" s="90"/>
      <c r="E27" s="90"/>
      <c r="F27" s="90"/>
      <c r="G27" s="90"/>
    </row>
    <row r="28" spans="2:7" hidden="1" x14ac:dyDescent="0.2">
      <c r="C28" s="90"/>
      <c r="D28" s="90"/>
      <c r="E28" s="90"/>
      <c r="F28" s="90"/>
      <c r="G28" s="90"/>
    </row>
    <row r="29" spans="2:7" hidden="1" x14ac:dyDescent="0.2">
      <c r="C29" s="90"/>
      <c r="D29" s="90"/>
      <c r="E29" s="90"/>
      <c r="F29" s="90"/>
      <c r="G29" s="90"/>
    </row>
  </sheetData>
  <mergeCells count="6">
    <mergeCell ref="C5:F5"/>
    <mergeCell ref="C8:F8"/>
    <mergeCell ref="C16:F21"/>
    <mergeCell ref="C9:F13"/>
    <mergeCell ref="C15:F15"/>
    <mergeCell ref="C6:F6"/>
  </mergeCells>
  <phoneticPr fontId="16" type="noConversion"/>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008000"/>
  </sheetPr>
  <dimension ref="A1:E46"/>
  <sheetViews>
    <sheetView showGridLines="0" tabSelected="1" zoomScaleNormal="100" workbookViewId="0">
      <selection activeCell="C26" sqref="C26"/>
    </sheetView>
  </sheetViews>
  <sheetFormatPr defaultColWidth="0" defaultRowHeight="12.75" zeroHeight="1" x14ac:dyDescent="0.2"/>
  <cols>
    <col min="1" max="1" width="3.140625" style="48" customWidth="1"/>
    <col min="2" max="2" width="5.28515625" style="48" customWidth="1"/>
    <col min="3" max="3" width="127.28515625" style="50" customWidth="1"/>
    <col min="4" max="4" width="4" style="48" customWidth="1"/>
    <col min="5" max="5" width="5.5703125" style="48" customWidth="1"/>
    <col min="6" max="16384" width="9.140625" style="48" hidden="1"/>
  </cols>
  <sheetData>
    <row r="1" spans="2:4" ht="13.5" thickBot="1" x14ac:dyDescent="0.25"/>
    <row r="2" spans="2:4" x14ac:dyDescent="0.2">
      <c r="B2" s="36"/>
      <c r="C2" s="37"/>
      <c r="D2" s="39"/>
    </row>
    <row r="3" spans="2:4" ht="15.75" x14ac:dyDescent="0.25">
      <c r="B3" s="40"/>
      <c r="C3" s="91" t="s">
        <v>155</v>
      </c>
      <c r="D3" s="42"/>
    </row>
    <row r="4" spans="2:4" x14ac:dyDescent="0.2">
      <c r="B4" s="40"/>
      <c r="C4" s="92"/>
      <c r="D4" s="42"/>
    </row>
    <row r="5" spans="2:4" ht="63" x14ac:dyDescent="0.25">
      <c r="B5" s="93"/>
      <c r="C5" s="94" t="s">
        <v>189</v>
      </c>
      <c r="D5" s="95"/>
    </row>
    <row r="6" spans="2:4" x14ac:dyDescent="0.2">
      <c r="B6" s="40"/>
      <c r="C6" s="92"/>
      <c r="D6" s="42"/>
    </row>
    <row r="7" spans="2:4" ht="15.75" x14ac:dyDescent="0.25">
      <c r="B7" s="40"/>
      <c r="C7" s="91" t="s">
        <v>156</v>
      </c>
      <c r="D7" s="42"/>
    </row>
    <row r="8" spans="2:4" x14ac:dyDescent="0.2">
      <c r="B8" s="40"/>
      <c r="C8" s="92"/>
      <c r="D8" s="42"/>
    </row>
    <row r="9" spans="2:4" ht="31.5" x14ac:dyDescent="0.25">
      <c r="B9" s="40"/>
      <c r="C9" s="96" t="s">
        <v>157</v>
      </c>
      <c r="D9" s="42"/>
    </row>
    <row r="10" spans="2:4" ht="15.75" x14ac:dyDescent="0.25">
      <c r="B10" s="40"/>
      <c r="C10" s="96"/>
      <c r="D10" s="42"/>
    </row>
    <row r="11" spans="2:4" ht="15.75" x14ac:dyDescent="0.25">
      <c r="B11" s="40"/>
      <c r="C11" s="96" t="s">
        <v>158</v>
      </c>
      <c r="D11" s="42"/>
    </row>
    <row r="12" spans="2:4" ht="15.75" x14ac:dyDescent="0.25">
      <c r="B12" s="40"/>
      <c r="C12" s="96"/>
      <c r="D12" s="42"/>
    </row>
    <row r="13" spans="2:4" ht="31.5" x14ac:dyDescent="0.25">
      <c r="B13" s="40"/>
      <c r="C13" s="96" t="s">
        <v>190</v>
      </c>
      <c r="D13" s="42"/>
    </row>
    <row r="14" spans="2:4" ht="15.75" x14ac:dyDescent="0.25">
      <c r="B14" s="40"/>
      <c r="C14" s="96"/>
      <c r="D14" s="42"/>
    </row>
    <row r="15" spans="2:4" ht="47.25" x14ac:dyDescent="0.25">
      <c r="B15" s="40"/>
      <c r="C15" s="96" t="s">
        <v>191</v>
      </c>
      <c r="D15" s="42"/>
    </row>
    <row r="16" spans="2:4" x14ac:dyDescent="0.2">
      <c r="B16" s="40"/>
      <c r="C16" s="92"/>
      <c r="D16" s="42"/>
    </row>
    <row r="17" spans="2:4" x14ac:dyDescent="0.2">
      <c r="B17" s="40"/>
      <c r="C17" s="92"/>
      <c r="D17" s="42"/>
    </row>
    <row r="18" spans="2:4" ht="15.75" x14ac:dyDescent="0.25">
      <c r="B18" s="40"/>
      <c r="C18" s="91" t="s">
        <v>159</v>
      </c>
      <c r="D18" s="42"/>
    </row>
    <row r="19" spans="2:4" ht="15.75" x14ac:dyDescent="0.25">
      <c r="B19" s="40"/>
      <c r="C19" s="96"/>
      <c r="D19" s="42"/>
    </row>
    <row r="20" spans="2:4" ht="47.25" x14ac:dyDescent="0.25">
      <c r="B20" s="40"/>
      <c r="C20" s="96" t="s">
        <v>160</v>
      </c>
      <c r="D20" s="42"/>
    </row>
    <row r="21" spans="2:4" ht="15.75" x14ac:dyDescent="0.25">
      <c r="B21" s="40"/>
      <c r="C21" s="96"/>
      <c r="D21" s="42"/>
    </row>
    <row r="22" spans="2:4" ht="31.5" x14ac:dyDescent="0.25">
      <c r="B22" s="40"/>
      <c r="C22" s="96" t="s">
        <v>161</v>
      </c>
      <c r="D22" s="42"/>
    </row>
    <row r="23" spans="2:4" ht="15.75" x14ac:dyDescent="0.25">
      <c r="B23" s="40"/>
      <c r="C23" s="96"/>
      <c r="D23" s="42"/>
    </row>
    <row r="24" spans="2:4" ht="47.25" x14ac:dyDescent="0.25">
      <c r="B24" s="40"/>
      <c r="C24" s="96" t="s">
        <v>192</v>
      </c>
      <c r="D24" s="42"/>
    </row>
    <row r="25" spans="2:4" ht="15.75" x14ac:dyDescent="0.25">
      <c r="B25" s="40"/>
      <c r="C25" s="96"/>
      <c r="D25" s="42"/>
    </row>
    <row r="26" spans="2:4" ht="47.25" x14ac:dyDescent="0.25">
      <c r="B26" s="40"/>
      <c r="C26" s="96" t="s">
        <v>193</v>
      </c>
      <c r="D26" s="42"/>
    </row>
    <row r="27" spans="2:4" x14ac:dyDescent="0.2">
      <c r="B27" s="40"/>
      <c r="C27" s="92"/>
      <c r="D27" s="42"/>
    </row>
    <row r="28" spans="2:4" x14ac:dyDescent="0.2">
      <c r="B28" s="40"/>
      <c r="C28" s="92"/>
      <c r="D28" s="42"/>
    </row>
    <row r="29" spans="2:4" ht="15.75" x14ac:dyDescent="0.25">
      <c r="B29" s="40"/>
      <c r="C29" s="91" t="s">
        <v>162</v>
      </c>
      <c r="D29" s="42"/>
    </row>
    <row r="30" spans="2:4" ht="15.75" x14ac:dyDescent="0.25">
      <c r="B30" s="40"/>
      <c r="C30" s="96"/>
      <c r="D30" s="42"/>
    </row>
    <row r="31" spans="2:4" ht="135" x14ac:dyDescent="0.2">
      <c r="B31" s="40"/>
      <c r="C31" s="97" t="s">
        <v>163</v>
      </c>
      <c r="D31" s="42"/>
    </row>
    <row r="32" spans="2:4" ht="15.75" x14ac:dyDescent="0.25">
      <c r="B32" s="40"/>
      <c r="C32" s="96"/>
      <c r="D32" s="42"/>
    </row>
    <row r="33" spans="2:4" ht="31.5" x14ac:dyDescent="0.25">
      <c r="B33" s="40"/>
      <c r="C33" s="96" t="s">
        <v>164</v>
      </c>
      <c r="D33" s="42"/>
    </row>
    <row r="34" spans="2:4" ht="15.75" x14ac:dyDescent="0.25">
      <c r="B34" s="40"/>
      <c r="C34" s="96"/>
      <c r="D34" s="42"/>
    </row>
    <row r="35" spans="2:4" ht="31.5" x14ac:dyDescent="0.25">
      <c r="B35" s="40"/>
      <c r="C35" s="96" t="s">
        <v>165</v>
      </c>
      <c r="D35" s="42"/>
    </row>
    <row r="36" spans="2:4" ht="15.75" x14ac:dyDescent="0.25">
      <c r="B36" s="40"/>
      <c r="C36" s="96"/>
      <c r="D36" s="42"/>
    </row>
    <row r="37" spans="2:4" ht="15.75" x14ac:dyDescent="0.25">
      <c r="B37" s="40"/>
      <c r="C37" s="91"/>
      <c r="D37" s="42"/>
    </row>
    <row r="38" spans="2:4" ht="15.75" x14ac:dyDescent="0.25">
      <c r="B38" s="40"/>
      <c r="C38" s="91" t="s">
        <v>166</v>
      </c>
      <c r="D38" s="42"/>
    </row>
    <row r="39" spans="2:4" ht="15.75" x14ac:dyDescent="0.25">
      <c r="B39" s="40"/>
      <c r="C39" s="96"/>
      <c r="D39" s="42"/>
    </row>
    <row r="40" spans="2:4" ht="31.5" x14ac:dyDescent="0.25">
      <c r="B40" s="40"/>
      <c r="C40" s="96" t="s">
        <v>194</v>
      </c>
      <c r="D40" s="42"/>
    </row>
    <row r="41" spans="2:4" ht="15.75" x14ac:dyDescent="0.25">
      <c r="B41" s="40"/>
      <c r="C41" s="96"/>
      <c r="D41" s="42"/>
    </row>
    <row r="42" spans="2:4" ht="31.5" x14ac:dyDescent="0.25">
      <c r="B42" s="40"/>
      <c r="C42" s="96" t="s">
        <v>167</v>
      </c>
      <c r="D42" s="42"/>
    </row>
    <row r="43" spans="2:4" ht="15.75" x14ac:dyDescent="0.25">
      <c r="B43" s="40"/>
      <c r="C43" s="96"/>
      <c r="D43" s="42"/>
    </row>
    <row r="44" spans="2:4" ht="15.75" x14ac:dyDescent="0.25">
      <c r="B44" s="40"/>
      <c r="C44" s="96" t="s">
        <v>168</v>
      </c>
      <c r="D44" s="42"/>
    </row>
    <row r="45" spans="2:4" ht="13.5" thickBot="1" x14ac:dyDescent="0.25">
      <c r="B45" s="45"/>
      <c r="C45" s="46"/>
      <c r="D45" s="47"/>
    </row>
    <row r="46" spans="2:4" x14ac:dyDescent="0.2"/>
  </sheetData>
  <phoneticPr fontId="0" type="noConversion"/>
  <hyperlinks>
    <hyperlink ref="C31" r:id="rId1" display="https://sites.google.com/site/massdgic/home/net-metering"/>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30"/>
  <sheetViews>
    <sheetView zoomScaleNormal="100" workbookViewId="0">
      <selection activeCell="A28" sqref="A28"/>
    </sheetView>
  </sheetViews>
  <sheetFormatPr defaultRowHeight="12.75" x14ac:dyDescent="0.2"/>
  <cols>
    <col min="2" max="2" width="22.5703125" bestFit="1" customWidth="1"/>
    <col min="4" max="4" width="20.28515625" bestFit="1" customWidth="1"/>
  </cols>
  <sheetData>
    <row r="1" spans="1:11" x14ac:dyDescent="0.2">
      <c r="A1" s="6" t="s">
        <v>149</v>
      </c>
      <c r="B1" s="6" t="s">
        <v>149</v>
      </c>
      <c r="C1" s="6" t="s">
        <v>149</v>
      </c>
      <c r="D1" s="6" t="s">
        <v>149</v>
      </c>
      <c r="E1" s="6" t="s">
        <v>266</v>
      </c>
      <c r="F1" s="6" t="s">
        <v>442</v>
      </c>
      <c r="G1" s="6" t="s">
        <v>446</v>
      </c>
      <c r="H1" s="6" t="s">
        <v>447</v>
      </c>
      <c r="I1" s="6" t="s">
        <v>447</v>
      </c>
      <c r="J1" s="6" t="s">
        <v>447</v>
      </c>
    </row>
    <row r="2" spans="1:11" x14ac:dyDescent="0.2">
      <c r="A2" s="9">
        <v>40299</v>
      </c>
      <c r="B2" t="s">
        <v>141</v>
      </c>
      <c r="C2" s="6" t="s">
        <v>144</v>
      </c>
      <c r="D2" s="6" t="s">
        <v>148</v>
      </c>
      <c r="E2" s="6" t="s">
        <v>267</v>
      </c>
      <c r="F2" s="6" t="s">
        <v>435</v>
      </c>
      <c r="G2" s="6" t="s">
        <v>443</v>
      </c>
      <c r="H2" s="6" t="s">
        <v>448</v>
      </c>
      <c r="I2" s="6" t="s">
        <v>176</v>
      </c>
      <c r="J2" s="6" t="s">
        <v>467</v>
      </c>
    </row>
    <row r="3" spans="1:11" x14ac:dyDescent="0.2">
      <c r="A3" s="9">
        <v>40513</v>
      </c>
      <c r="B3" t="s">
        <v>142</v>
      </c>
      <c r="C3" s="6" t="s">
        <v>145</v>
      </c>
      <c r="D3" s="6" t="s">
        <v>146</v>
      </c>
      <c r="E3" s="6" t="s">
        <v>268</v>
      </c>
      <c r="F3" s="6" t="s">
        <v>436</v>
      </c>
      <c r="G3" s="6" t="s">
        <v>444</v>
      </c>
      <c r="H3" s="6" t="s">
        <v>128</v>
      </c>
      <c r="I3" s="6" t="s">
        <v>129</v>
      </c>
      <c r="J3" s="6" t="s">
        <v>468</v>
      </c>
    </row>
    <row r="4" spans="1:11" x14ac:dyDescent="0.2">
      <c r="A4" s="9">
        <v>40725</v>
      </c>
      <c r="B4" t="s">
        <v>143</v>
      </c>
      <c r="D4" s="6" t="s">
        <v>147</v>
      </c>
      <c r="F4" s="6" t="s">
        <v>437</v>
      </c>
      <c r="G4" s="6" t="s">
        <v>445</v>
      </c>
      <c r="H4" s="6" t="s">
        <v>175</v>
      </c>
      <c r="J4" s="6" t="s">
        <v>469</v>
      </c>
    </row>
    <row r="5" spans="1:11" x14ac:dyDescent="0.2">
      <c r="A5" s="9">
        <v>40878</v>
      </c>
      <c r="B5" t="s">
        <v>152</v>
      </c>
      <c r="F5" s="6" t="s">
        <v>438</v>
      </c>
      <c r="H5" s="23"/>
    </row>
    <row r="6" spans="1:11" x14ac:dyDescent="0.2">
      <c r="A6" s="9">
        <v>41091</v>
      </c>
      <c r="B6" t="s">
        <v>153</v>
      </c>
      <c r="F6" s="6" t="s">
        <v>439</v>
      </c>
      <c r="H6" s="23"/>
    </row>
    <row r="7" spans="1:11" x14ac:dyDescent="0.2">
      <c r="B7" t="s">
        <v>151</v>
      </c>
      <c r="F7" s="6" t="s">
        <v>440</v>
      </c>
      <c r="H7" s="23"/>
      <c r="K7" s="6"/>
    </row>
    <row r="8" spans="1:11" x14ac:dyDescent="0.2">
      <c r="B8" t="s">
        <v>150</v>
      </c>
      <c r="F8" s="6" t="s">
        <v>441</v>
      </c>
      <c r="H8" s="23"/>
    </row>
    <row r="9" spans="1:11" x14ac:dyDescent="0.2">
      <c r="F9" s="6" t="s">
        <v>427</v>
      </c>
      <c r="H9" s="23"/>
    </row>
    <row r="10" spans="1:11" x14ac:dyDescent="0.2">
      <c r="F10" s="6" t="s">
        <v>428</v>
      </c>
      <c r="H10" s="23"/>
    </row>
    <row r="11" spans="1:11" x14ac:dyDescent="0.2">
      <c r="F11" s="6" t="s">
        <v>429</v>
      </c>
      <c r="H11" s="23"/>
    </row>
    <row r="12" spans="1:11" x14ac:dyDescent="0.2">
      <c r="F12" s="6" t="s">
        <v>430</v>
      </c>
      <c r="H12" s="23"/>
    </row>
    <row r="13" spans="1:11" x14ac:dyDescent="0.2">
      <c r="F13" s="6" t="s">
        <v>431</v>
      </c>
      <c r="H13" s="23"/>
    </row>
    <row r="14" spans="1:11" x14ac:dyDescent="0.2">
      <c r="F14" s="6" t="s">
        <v>432</v>
      </c>
      <c r="H14" s="23"/>
    </row>
    <row r="15" spans="1:11" x14ac:dyDescent="0.2">
      <c r="F15" s="6" t="s">
        <v>433</v>
      </c>
      <c r="H15" s="23"/>
    </row>
    <row r="16" spans="1:11" x14ac:dyDescent="0.2">
      <c r="F16" s="6" t="s">
        <v>434</v>
      </c>
      <c r="H16" s="23"/>
    </row>
    <row r="17" spans="8:8" x14ac:dyDescent="0.2">
      <c r="H17" s="23"/>
    </row>
    <row r="18" spans="8:8" x14ac:dyDescent="0.2">
      <c r="H18" s="23"/>
    </row>
    <row r="19" spans="8:8" x14ac:dyDescent="0.2">
      <c r="H19" s="23"/>
    </row>
    <row r="20" spans="8:8" x14ac:dyDescent="0.2">
      <c r="H20" s="23"/>
    </row>
    <row r="21" spans="8:8" x14ac:dyDescent="0.2">
      <c r="H21" s="23"/>
    </row>
    <row r="22" spans="8:8" x14ac:dyDescent="0.2">
      <c r="H22" s="23"/>
    </row>
    <row r="23" spans="8:8" x14ac:dyDescent="0.2">
      <c r="H23" s="23"/>
    </row>
    <row r="24" spans="8:8" x14ac:dyDescent="0.2">
      <c r="H24" s="23"/>
    </row>
    <row r="25" spans="8:8" x14ac:dyDescent="0.2">
      <c r="H25" s="23"/>
    </row>
    <row r="26" spans="8:8" x14ac:dyDescent="0.2">
      <c r="H26" s="23"/>
    </row>
    <row r="27" spans="8:8" x14ac:dyDescent="0.2">
      <c r="H27" s="23"/>
    </row>
    <row r="28" spans="8:8" x14ac:dyDescent="0.2">
      <c r="H28" s="23"/>
    </row>
    <row r="29" spans="8:8" x14ac:dyDescent="0.2">
      <c r="H29" s="23"/>
    </row>
    <row r="30" spans="8:8" x14ac:dyDescent="0.2">
      <c r="H30" s="23"/>
    </row>
  </sheetData>
  <phoneticPr fontId="0" type="noConversion"/>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J122"/>
  <sheetViews>
    <sheetView workbookViewId="0">
      <selection activeCell="C8" sqref="C8"/>
    </sheetView>
  </sheetViews>
  <sheetFormatPr defaultColWidth="22.85546875" defaultRowHeight="15" x14ac:dyDescent="0.25"/>
  <cols>
    <col min="1" max="1" width="54.7109375" style="233" customWidth="1"/>
    <col min="2" max="3" width="41.140625" style="233" bestFit="1" customWidth="1"/>
    <col min="4" max="4" width="15.5703125" style="233" bestFit="1" customWidth="1"/>
    <col min="5" max="5" width="32.42578125" style="110" bestFit="1" customWidth="1"/>
    <col min="6" max="6" width="57.7109375" style="233" customWidth="1"/>
    <col min="7" max="7" width="72.5703125" style="233" customWidth="1"/>
    <col min="8" max="8" width="22.140625" style="233" bestFit="1" customWidth="1"/>
    <col min="9" max="9" width="106.28515625" style="239" bestFit="1" customWidth="1"/>
    <col min="10" max="16384" width="22.85546875" style="233"/>
  </cols>
  <sheetData>
    <row r="2" spans="1:9" x14ac:dyDescent="0.25">
      <c r="A2" s="6" t="s">
        <v>275</v>
      </c>
      <c r="B2"/>
    </row>
    <row r="3" spans="1:9" x14ac:dyDescent="0.25">
      <c r="A3"/>
      <c r="B3"/>
    </row>
    <row r="4" spans="1:9" x14ac:dyDescent="0.25">
      <c r="A4"/>
      <c r="B4"/>
    </row>
    <row r="5" spans="1:9" x14ac:dyDescent="0.25">
      <c r="A5">
        <v>3.4120000000000001E-3</v>
      </c>
      <c r="B5" s="6" t="s">
        <v>277</v>
      </c>
    </row>
    <row r="6" spans="1:9" x14ac:dyDescent="0.25">
      <c r="A6">
        <v>0.1</v>
      </c>
      <c r="B6" s="6" t="s">
        <v>281</v>
      </c>
    </row>
    <row r="7" spans="1:9" x14ac:dyDescent="0.25">
      <c r="A7" s="23">
        <v>0.13900000000000001</v>
      </c>
      <c r="B7" s="6" t="s">
        <v>276</v>
      </c>
    </row>
    <row r="8" spans="1:9" x14ac:dyDescent="0.25">
      <c r="A8">
        <v>9.0999999999999998E-2</v>
      </c>
      <c r="B8" s="6" t="s">
        <v>278</v>
      </c>
    </row>
    <row r="9" spans="1:9" x14ac:dyDescent="0.25">
      <c r="A9">
        <v>0.124</v>
      </c>
      <c r="B9" s="6" t="s">
        <v>279</v>
      </c>
    </row>
    <row r="10" spans="1:9" x14ac:dyDescent="0.25">
      <c r="A10">
        <v>0.13900000000000001</v>
      </c>
      <c r="B10" s="6" t="s">
        <v>280</v>
      </c>
    </row>
    <row r="12" spans="1:9" ht="36" x14ac:dyDescent="0.25">
      <c r="A12" s="916" t="s">
        <v>282</v>
      </c>
      <c r="B12" s="917"/>
      <c r="C12" s="917"/>
      <c r="D12" s="917"/>
      <c r="E12" s="917"/>
      <c r="F12" s="917"/>
      <c r="G12" s="918"/>
      <c r="H12" s="919" t="s">
        <v>283</v>
      </c>
      <c r="I12" s="920"/>
    </row>
    <row r="13" spans="1:9" s="234" customFormat="1" ht="45" x14ac:dyDescent="0.2">
      <c r="A13" s="98" t="s">
        <v>365</v>
      </c>
      <c r="B13" s="98" t="s">
        <v>284</v>
      </c>
      <c r="C13" s="98" t="s">
        <v>285</v>
      </c>
      <c r="D13" s="99" t="s">
        <v>286</v>
      </c>
      <c r="E13" s="99" t="s">
        <v>287</v>
      </c>
      <c r="F13" s="99" t="s">
        <v>288</v>
      </c>
      <c r="G13" s="99" t="s">
        <v>289</v>
      </c>
      <c r="H13" s="100" t="s">
        <v>450</v>
      </c>
      <c r="I13" s="101" t="s">
        <v>290</v>
      </c>
    </row>
    <row r="14" spans="1:9" x14ac:dyDescent="0.25">
      <c r="A14" s="102" t="s">
        <v>291</v>
      </c>
      <c r="B14" s="103" t="s">
        <v>292</v>
      </c>
      <c r="C14" s="103" t="s">
        <v>292</v>
      </c>
      <c r="D14" s="104">
        <v>1.1892473118279598</v>
      </c>
      <c r="E14" s="105">
        <f t="shared" ref="E14:E49" si="0">D14/$B$121</f>
        <v>5.3934118450247616E-4</v>
      </c>
      <c r="F14" s="235" t="s">
        <v>293</v>
      </c>
      <c r="G14" s="236"/>
      <c r="H14" s="106">
        <v>3.4119999999999999</v>
      </c>
      <c r="I14" s="235" t="s">
        <v>294</v>
      </c>
    </row>
    <row r="15" spans="1:9" x14ac:dyDescent="0.25">
      <c r="A15" s="102" t="s">
        <v>295</v>
      </c>
      <c r="B15" s="103" t="s">
        <v>292</v>
      </c>
      <c r="C15" s="103" t="s">
        <v>292</v>
      </c>
      <c r="D15" s="104">
        <v>1.1989247311828002</v>
      </c>
      <c r="E15" s="105">
        <f t="shared" si="0"/>
        <v>5.4373003681759647E-4</v>
      </c>
      <c r="F15" s="235" t="s">
        <v>293</v>
      </c>
      <c r="G15" s="236"/>
      <c r="H15" s="106">
        <v>3.4119999999999999</v>
      </c>
      <c r="I15" s="235" t="s">
        <v>294</v>
      </c>
    </row>
    <row r="16" spans="1:9" x14ac:dyDescent="0.25">
      <c r="A16" s="102" t="s">
        <v>296</v>
      </c>
      <c r="B16" s="103" t="s">
        <v>292</v>
      </c>
      <c r="C16" s="103" t="s">
        <v>292</v>
      </c>
      <c r="D16" s="104">
        <v>1.2505376344086001</v>
      </c>
      <c r="E16" s="105">
        <f t="shared" si="0"/>
        <v>5.6713724916489803E-4</v>
      </c>
      <c r="F16" s="235" t="s">
        <v>293</v>
      </c>
      <c r="G16" s="236"/>
      <c r="H16" s="106">
        <v>3.4119999999999999</v>
      </c>
      <c r="I16" s="235" t="s">
        <v>294</v>
      </c>
    </row>
    <row r="17" spans="1:9" x14ac:dyDescent="0.25">
      <c r="A17" s="102" t="s">
        <v>297</v>
      </c>
      <c r="B17" s="103" t="s">
        <v>292</v>
      </c>
      <c r="C17" s="103" t="s">
        <v>292</v>
      </c>
      <c r="D17" s="104">
        <v>1.21827956989247</v>
      </c>
      <c r="E17" s="105">
        <f t="shared" si="0"/>
        <v>5.5250774144783221E-4</v>
      </c>
      <c r="F17" s="235" t="s">
        <v>293</v>
      </c>
      <c r="G17" s="236"/>
      <c r="H17" s="106">
        <v>3.4119999999999999</v>
      </c>
      <c r="I17" s="235" t="s">
        <v>294</v>
      </c>
    </row>
    <row r="18" spans="1:9" x14ac:dyDescent="0.25">
      <c r="A18" s="102" t="s">
        <v>298</v>
      </c>
      <c r="B18" s="103" t="s">
        <v>292</v>
      </c>
      <c r="C18" s="103" t="s">
        <v>292</v>
      </c>
      <c r="D18" s="104">
        <v>1.2193429611670001</v>
      </c>
      <c r="E18" s="105">
        <f t="shared" si="0"/>
        <v>5.5299000506439915E-4</v>
      </c>
      <c r="F18" s="235" t="s">
        <v>293</v>
      </c>
      <c r="G18" s="236"/>
      <c r="H18" s="106">
        <v>3.4119999999999999</v>
      </c>
      <c r="I18" s="235" t="s">
        <v>294</v>
      </c>
    </row>
    <row r="19" spans="1:9" x14ac:dyDescent="0.25">
      <c r="A19" s="102" t="s">
        <v>299</v>
      </c>
      <c r="B19" s="103" t="s">
        <v>292</v>
      </c>
      <c r="C19" s="103" t="s">
        <v>292</v>
      </c>
      <c r="D19" s="104">
        <v>1.0848087291281099</v>
      </c>
      <c r="E19" s="105">
        <f t="shared" si="0"/>
        <v>4.9197674790390469E-4</v>
      </c>
      <c r="F19" s="235" t="s">
        <v>293</v>
      </c>
      <c r="G19" s="236"/>
      <c r="H19" s="106">
        <v>3.4119999999999999</v>
      </c>
      <c r="I19" s="235" t="s">
        <v>294</v>
      </c>
    </row>
    <row r="20" spans="1:9" x14ac:dyDescent="0.25">
      <c r="A20" s="102" t="s">
        <v>300</v>
      </c>
      <c r="B20" s="103" t="s">
        <v>292</v>
      </c>
      <c r="C20" s="103" t="s">
        <v>292</v>
      </c>
      <c r="D20" s="104">
        <v>1.1080456135852101</v>
      </c>
      <c r="E20" s="105">
        <f t="shared" si="0"/>
        <v>5.0251501749896152E-4</v>
      </c>
      <c r="F20" s="235" t="s">
        <v>293</v>
      </c>
      <c r="G20" s="236"/>
      <c r="H20" s="106">
        <v>3.4119999999999999</v>
      </c>
      <c r="I20" s="235" t="s">
        <v>294</v>
      </c>
    </row>
    <row r="21" spans="1:9" x14ac:dyDescent="0.25">
      <c r="A21" s="102" t="s">
        <v>301</v>
      </c>
      <c r="B21" s="103" t="s">
        <v>292</v>
      </c>
      <c r="C21" s="103" t="s">
        <v>292</v>
      </c>
      <c r="D21" s="104">
        <v>1.02241996662775</v>
      </c>
      <c r="E21" s="105">
        <f t="shared" si="0"/>
        <v>4.6368252454773244E-4</v>
      </c>
      <c r="F21" s="235" t="s">
        <v>293</v>
      </c>
      <c r="G21" s="236"/>
      <c r="H21" s="106">
        <v>3.4119999999999999</v>
      </c>
      <c r="I21" s="235" t="s">
        <v>294</v>
      </c>
    </row>
    <row r="22" spans="1:9" x14ac:dyDescent="0.25">
      <c r="A22" s="102" t="s">
        <v>302</v>
      </c>
      <c r="B22" s="103" t="s">
        <v>292</v>
      </c>
      <c r="C22" s="103" t="s">
        <v>292</v>
      </c>
      <c r="D22" s="104">
        <v>0.95720227199140007</v>
      </c>
      <c r="E22" s="105">
        <f t="shared" si="0"/>
        <v>4.3410533877161E-4</v>
      </c>
      <c r="F22" s="235" t="s">
        <v>293</v>
      </c>
      <c r="G22" s="236"/>
      <c r="H22" s="106">
        <v>3.4119999999999999</v>
      </c>
      <c r="I22" s="235" t="s">
        <v>294</v>
      </c>
    </row>
    <row r="23" spans="1:9" x14ac:dyDescent="0.25">
      <c r="A23" s="102" t="s">
        <v>303</v>
      </c>
      <c r="B23" s="103" t="s">
        <v>292</v>
      </c>
      <c r="C23" s="103" t="s">
        <v>292</v>
      </c>
      <c r="D23" s="104">
        <v>0.96344086021505404</v>
      </c>
      <c r="E23" s="105">
        <f t="shared" si="0"/>
        <v>4.3693463048301772E-4</v>
      </c>
      <c r="F23" s="235" t="s">
        <v>293</v>
      </c>
      <c r="G23" s="236"/>
      <c r="H23" s="106">
        <v>3.4119999999999999</v>
      </c>
      <c r="I23" s="235" t="s">
        <v>294</v>
      </c>
    </row>
    <row r="24" spans="1:9" x14ac:dyDescent="0.25">
      <c r="A24" s="102" t="s">
        <v>304</v>
      </c>
      <c r="B24" s="103" t="s">
        <v>292</v>
      </c>
      <c r="C24" s="103" t="s">
        <v>292</v>
      </c>
      <c r="D24" s="107">
        <v>0.83399999999999996</v>
      </c>
      <c r="E24" s="108">
        <f t="shared" si="0"/>
        <v>3.782312925170068E-4</v>
      </c>
      <c r="F24" s="235" t="s">
        <v>293</v>
      </c>
      <c r="G24" s="236"/>
      <c r="H24" s="106">
        <v>3.4119999999999999</v>
      </c>
      <c r="I24" s="235" t="s">
        <v>294</v>
      </c>
    </row>
    <row r="25" spans="1:9" x14ac:dyDescent="0.25">
      <c r="A25" s="102" t="s">
        <v>305</v>
      </c>
      <c r="B25" s="103" t="s">
        <v>292</v>
      </c>
      <c r="C25" s="103" t="s">
        <v>292</v>
      </c>
      <c r="D25" s="107">
        <v>0.83399999999999996</v>
      </c>
      <c r="E25" s="108">
        <f t="shared" si="0"/>
        <v>3.782312925170068E-4</v>
      </c>
      <c r="F25" s="235" t="s">
        <v>293</v>
      </c>
      <c r="G25" s="236"/>
      <c r="H25" s="106">
        <v>3.4119999999999999</v>
      </c>
      <c r="I25" s="235" t="s">
        <v>294</v>
      </c>
    </row>
    <row r="26" spans="1:9" x14ac:dyDescent="0.25">
      <c r="A26" s="102" t="s">
        <v>306</v>
      </c>
      <c r="B26" s="103" t="s">
        <v>292</v>
      </c>
      <c r="C26" s="103" t="s">
        <v>292</v>
      </c>
      <c r="D26" s="107">
        <v>0.83399999999999996</v>
      </c>
      <c r="E26" s="108">
        <f t="shared" si="0"/>
        <v>3.782312925170068E-4</v>
      </c>
      <c r="F26" s="235" t="s">
        <v>293</v>
      </c>
      <c r="G26" s="236"/>
      <c r="H26" s="106">
        <v>3.4119999999999999</v>
      </c>
      <c r="I26" s="235" t="s">
        <v>294</v>
      </c>
    </row>
    <row r="27" spans="1:9" x14ac:dyDescent="0.25">
      <c r="A27" s="102" t="s">
        <v>307</v>
      </c>
      <c r="B27" s="103" t="s">
        <v>292</v>
      </c>
      <c r="C27" s="103" t="s">
        <v>292</v>
      </c>
      <c r="D27" s="107">
        <v>0.83399999999999996</v>
      </c>
      <c r="E27" s="108">
        <f t="shared" si="0"/>
        <v>3.782312925170068E-4</v>
      </c>
      <c r="F27" s="235" t="s">
        <v>293</v>
      </c>
      <c r="G27" s="236"/>
      <c r="H27" s="106">
        <v>3.4119999999999999</v>
      </c>
      <c r="I27" s="235" t="s">
        <v>294</v>
      </c>
    </row>
    <row r="28" spans="1:9" x14ac:dyDescent="0.25">
      <c r="A28" s="102" t="s">
        <v>308</v>
      </c>
      <c r="B28" s="103" t="s">
        <v>292</v>
      </c>
      <c r="C28" s="103" t="s">
        <v>292</v>
      </c>
      <c r="D28" s="104">
        <v>1.1940860215053799</v>
      </c>
      <c r="E28" s="105">
        <f t="shared" si="0"/>
        <v>5.4153561066003621E-4</v>
      </c>
      <c r="F28" s="235" t="s">
        <v>293</v>
      </c>
      <c r="G28" s="236"/>
      <c r="H28" s="106">
        <v>3.4119999999999999</v>
      </c>
      <c r="I28" s="235" t="s">
        <v>294</v>
      </c>
    </row>
    <row r="29" spans="1:9" x14ac:dyDescent="0.25">
      <c r="A29" s="102" t="s">
        <v>309</v>
      </c>
      <c r="B29" s="103" t="s">
        <v>292</v>
      </c>
      <c r="C29" s="103" t="s">
        <v>292</v>
      </c>
      <c r="D29" s="104">
        <v>1.2247311827957001</v>
      </c>
      <c r="E29" s="105">
        <f t="shared" si="0"/>
        <v>5.5543364299124719E-4</v>
      </c>
      <c r="F29" s="235" t="s">
        <v>293</v>
      </c>
      <c r="G29" s="236"/>
      <c r="H29" s="106">
        <v>3.4119999999999999</v>
      </c>
      <c r="I29" s="235" t="s">
        <v>294</v>
      </c>
    </row>
    <row r="30" spans="1:9" x14ac:dyDescent="0.25">
      <c r="A30" s="102" t="s">
        <v>310</v>
      </c>
      <c r="B30" s="103" t="s">
        <v>292</v>
      </c>
      <c r="C30" s="103" t="s">
        <v>292</v>
      </c>
      <c r="D30" s="104">
        <v>1.23440860215054</v>
      </c>
      <c r="E30" s="105">
        <f t="shared" si="0"/>
        <v>5.5982249530636739E-4</v>
      </c>
      <c r="F30" s="235" t="s">
        <v>293</v>
      </c>
      <c r="G30" s="236"/>
      <c r="H30" s="106">
        <v>3.4119999999999999</v>
      </c>
      <c r="I30" s="235" t="s">
        <v>294</v>
      </c>
    </row>
    <row r="31" spans="1:9" x14ac:dyDescent="0.25">
      <c r="A31" s="102" t="s">
        <v>311</v>
      </c>
      <c r="B31" s="103" t="s">
        <v>292</v>
      </c>
      <c r="C31" s="103" t="s">
        <v>292</v>
      </c>
      <c r="D31" s="104">
        <v>1.2188112655297401</v>
      </c>
      <c r="E31" s="105">
        <f t="shared" si="0"/>
        <v>5.5274887325611796E-4</v>
      </c>
      <c r="F31" s="235" t="s">
        <v>293</v>
      </c>
      <c r="G31" s="236"/>
      <c r="H31" s="106">
        <v>3.4119999999999999</v>
      </c>
      <c r="I31" s="235" t="s">
        <v>294</v>
      </c>
    </row>
    <row r="32" spans="1:9" x14ac:dyDescent="0.25">
      <c r="A32" s="102" t="s">
        <v>312</v>
      </c>
      <c r="B32" s="103" t="s">
        <v>292</v>
      </c>
      <c r="C32" s="103" t="s">
        <v>292</v>
      </c>
      <c r="D32" s="104">
        <v>1.1520758451475599</v>
      </c>
      <c r="E32" s="105">
        <f t="shared" si="0"/>
        <v>5.224833764841542E-4</v>
      </c>
      <c r="F32" s="235" t="s">
        <v>293</v>
      </c>
      <c r="G32" s="236"/>
      <c r="H32" s="106">
        <v>3.4119999999999999</v>
      </c>
      <c r="I32" s="235" t="s">
        <v>294</v>
      </c>
    </row>
    <row r="33" spans="1:9" x14ac:dyDescent="0.25">
      <c r="A33" s="102" t="s">
        <v>313</v>
      </c>
      <c r="B33" s="103" t="s">
        <v>292</v>
      </c>
      <c r="C33" s="103" t="s">
        <v>292</v>
      </c>
      <c r="D33" s="104">
        <v>1.09642717135666</v>
      </c>
      <c r="E33" s="105">
        <f t="shared" si="0"/>
        <v>4.9724588270143311E-4</v>
      </c>
      <c r="F33" s="235" t="s">
        <v>293</v>
      </c>
      <c r="G33" s="236"/>
      <c r="H33" s="106">
        <v>3.4119999999999999</v>
      </c>
      <c r="I33" s="235" t="s">
        <v>294</v>
      </c>
    </row>
    <row r="34" spans="1:9" x14ac:dyDescent="0.25">
      <c r="A34" s="102" t="s">
        <v>314</v>
      </c>
      <c r="B34" s="103" t="s">
        <v>292</v>
      </c>
      <c r="C34" s="103" t="s">
        <v>292</v>
      </c>
      <c r="D34" s="104">
        <v>1.06523279010648</v>
      </c>
      <c r="E34" s="105">
        <f t="shared" si="0"/>
        <v>4.8309877102334695E-4</v>
      </c>
      <c r="F34" s="235" t="s">
        <v>293</v>
      </c>
      <c r="G34" s="236"/>
      <c r="H34" s="106">
        <v>3.4119999999999999</v>
      </c>
      <c r="I34" s="235" t="s">
        <v>294</v>
      </c>
    </row>
    <row r="35" spans="1:9" x14ac:dyDescent="0.25">
      <c r="A35" s="102" t="s">
        <v>315</v>
      </c>
      <c r="B35" s="103" t="s">
        <v>292</v>
      </c>
      <c r="C35" s="103" t="s">
        <v>292</v>
      </c>
      <c r="D35" s="104">
        <v>0.98981111930957399</v>
      </c>
      <c r="E35" s="105">
        <f t="shared" si="0"/>
        <v>4.4889393165967076E-4</v>
      </c>
      <c r="F35" s="235" t="s">
        <v>293</v>
      </c>
      <c r="G35" s="236"/>
      <c r="H35" s="106">
        <v>3.4119999999999999</v>
      </c>
      <c r="I35" s="235" t="s">
        <v>294</v>
      </c>
    </row>
    <row r="36" spans="1:9" x14ac:dyDescent="0.25">
      <c r="A36" s="102" t="s">
        <v>316</v>
      </c>
      <c r="B36" s="103" t="s">
        <v>292</v>
      </c>
      <c r="C36" s="103" t="s">
        <v>292</v>
      </c>
      <c r="D36" s="104">
        <v>0.96032156610322705</v>
      </c>
      <c r="E36" s="105">
        <f t="shared" si="0"/>
        <v>4.3551998462731386E-4</v>
      </c>
      <c r="F36" s="235" t="s">
        <v>293</v>
      </c>
      <c r="G36" s="236"/>
      <c r="H36" s="106">
        <v>3.4119999999999999</v>
      </c>
      <c r="I36" s="235" t="s">
        <v>294</v>
      </c>
    </row>
    <row r="37" spans="1:9" x14ac:dyDescent="0.25">
      <c r="A37" s="102" t="s">
        <v>317</v>
      </c>
      <c r="B37" s="103" t="s">
        <v>292</v>
      </c>
      <c r="C37" s="103" t="s">
        <v>292</v>
      </c>
      <c r="D37" s="107">
        <v>0.898720430107527</v>
      </c>
      <c r="E37" s="108">
        <f t="shared" si="0"/>
        <v>4.0758296150001223E-4</v>
      </c>
      <c r="F37" s="235" t="s">
        <v>293</v>
      </c>
      <c r="G37" s="236"/>
      <c r="H37" s="106">
        <v>3.4119999999999999</v>
      </c>
      <c r="I37" s="235" t="s">
        <v>294</v>
      </c>
    </row>
    <row r="38" spans="1:9" x14ac:dyDescent="0.25">
      <c r="A38" s="102" t="s">
        <v>318</v>
      </c>
      <c r="B38" s="103" t="s">
        <v>292</v>
      </c>
      <c r="C38" s="103" t="s">
        <v>292</v>
      </c>
      <c r="D38" s="107">
        <v>0.898720430107527</v>
      </c>
      <c r="E38" s="108">
        <f t="shared" si="0"/>
        <v>4.0758296150001223E-4</v>
      </c>
      <c r="F38" s="235" t="s">
        <v>293</v>
      </c>
      <c r="G38" s="236"/>
      <c r="H38" s="106">
        <v>3.4119999999999999</v>
      </c>
      <c r="I38" s="235" t="s">
        <v>294</v>
      </c>
    </row>
    <row r="39" spans="1:9" x14ac:dyDescent="0.25">
      <c r="A39" s="102" t="s">
        <v>319</v>
      </c>
      <c r="B39" s="103" t="s">
        <v>292</v>
      </c>
      <c r="C39" s="103" t="s">
        <v>292</v>
      </c>
      <c r="D39" s="107">
        <v>0.898720430107527</v>
      </c>
      <c r="E39" s="108">
        <f t="shared" si="0"/>
        <v>4.0758296150001223E-4</v>
      </c>
      <c r="F39" s="235" t="s">
        <v>293</v>
      </c>
      <c r="G39" s="236"/>
      <c r="H39" s="106">
        <v>3.4119999999999999</v>
      </c>
      <c r="I39" s="235" t="s">
        <v>294</v>
      </c>
    </row>
    <row r="40" spans="1:9" x14ac:dyDescent="0.25">
      <c r="A40" s="102" t="s">
        <v>320</v>
      </c>
      <c r="B40" s="103" t="s">
        <v>292</v>
      </c>
      <c r="C40" s="103" t="s">
        <v>292</v>
      </c>
      <c r="D40" s="107">
        <v>0.898720430107527</v>
      </c>
      <c r="E40" s="108">
        <f t="shared" si="0"/>
        <v>4.0758296150001223E-4</v>
      </c>
      <c r="F40" s="235" t="s">
        <v>293</v>
      </c>
      <c r="G40" s="236"/>
      <c r="H40" s="106">
        <v>3.4119999999999999</v>
      </c>
      <c r="I40" s="235" t="s">
        <v>294</v>
      </c>
    </row>
    <row r="41" spans="1:9" x14ac:dyDescent="0.25">
      <c r="A41" s="102" t="s">
        <v>321</v>
      </c>
      <c r="B41" s="103">
        <f>53.06/(0.453592*10)</f>
        <v>11.697737173495124</v>
      </c>
      <c r="C41" s="103">
        <f>B41/2205</f>
        <v>5.3050962238073126E-3</v>
      </c>
      <c r="D41" s="103">
        <v>11.728609767</v>
      </c>
      <c r="E41" s="105">
        <f t="shared" si="0"/>
        <v>5.3190974000000002E-3</v>
      </c>
      <c r="F41" s="235" t="s">
        <v>322</v>
      </c>
      <c r="G41" s="235" t="s">
        <v>323</v>
      </c>
      <c r="H41" s="106">
        <v>100</v>
      </c>
      <c r="I41" s="235" t="s">
        <v>294</v>
      </c>
    </row>
    <row r="42" spans="1:9" x14ac:dyDescent="0.25">
      <c r="A42" s="102" t="s">
        <v>324</v>
      </c>
      <c r="B42" s="103">
        <f>B41*1.023</f>
        <v>11.96678512848551</v>
      </c>
      <c r="C42" s="103">
        <f>B42/2205</f>
        <v>5.4271134369548802E-3</v>
      </c>
      <c r="D42" s="103">
        <v>11.998357799999999</v>
      </c>
      <c r="E42" s="105">
        <f t="shared" si="0"/>
        <v>5.441432108843537E-3</v>
      </c>
      <c r="F42" s="235" t="s">
        <v>325</v>
      </c>
      <c r="G42" s="235" t="s">
        <v>325</v>
      </c>
      <c r="H42" s="106">
        <v>102.3</v>
      </c>
      <c r="I42" s="235" t="s">
        <v>326</v>
      </c>
    </row>
    <row r="43" spans="1:9" x14ac:dyDescent="0.25">
      <c r="A43" s="102" t="s">
        <v>327</v>
      </c>
      <c r="B43" s="103">
        <f>10.15/0.453592</f>
        <v>22.376937864865344</v>
      </c>
      <c r="C43" s="103">
        <f>B43/2205</f>
        <v>1.0148271140528501E-2</v>
      </c>
      <c r="D43" s="103">
        <v>22.4940157785</v>
      </c>
      <c r="E43" s="105">
        <f t="shared" si="0"/>
        <v>1.02013677E-2</v>
      </c>
      <c r="F43" s="235" t="s">
        <v>322</v>
      </c>
      <c r="G43" s="235" t="s">
        <v>323</v>
      </c>
      <c r="H43" s="106">
        <v>138.69047619047601</v>
      </c>
      <c r="I43" s="235" t="s">
        <v>294</v>
      </c>
    </row>
    <row r="44" spans="1:9" x14ac:dyDescent="0.25">
      <c r="A44" s="102" t="s">
        <v>328</v>
      </c>
      <c r="B44" s="103">
        <f>10.15/0.453592</f>
        <v>22.376937864865344</v>
      </c>
      <c r="C44" s="103">
        <f>B44/2205</f>
        <v>1.0148271140528501E-2</v>
      </c>
      <c r="D44" s="103">
        <v>22.4940157785</v>
      </c>
      <c r="E44" s="105">
        <f t="shared" si="0"/>
        <v>1.02013677E-2</v>
      </c>
      <c r="F44" s="235" t="s">
        <v>322</v>
      </c>
      <c r="G44" s="235" t="s">
        <v>323</v>
      </c>
      <c r="H44" s="106">
        <v>138.69047619047601</v>
      </c>
      <c r="I44" s="235" t="s">
        <v>294</v>
      </c>
    </row>
    <row r="45" spans="1:9" x14ac:dyDescent="0.25">
      <c r="A45" s="102" t="s">
        <v>329</v>
      </c>
      <c r="B45" s="103">
        <f>11.8/0.453592</f>
        <v>26.014568158168576</v>
      </c>
      <c r="C45" s="103">
        <f>B45/2205</f>
        <v>1.1797990094407518E-2</v>
      </c>
      <c r="D45" s="103">
        <v>26.141554340999999</v>
      </c>
      <c r="E45" s="105">
        <f t="shared" si="0"/>
        <v>1.18555802E-2</v>
      </c>
      <c r="F45" s="235" t="s">
        <v>322</v>
      </c>
      <c r="G45" s="235" t="s">
        <v>323</v>
      </c>
      <c r="H45" s="106">
        <v>149.69047619047601</v>
      </c>
      <c r="I45" s="235" t="s">
        <v>294</v>
      </c>
    </row>
    <row r="46" spans="1:9" x14ac:dyDescent="0.25">
      <c r="A46" s="102" t="s">
        <v>330</v>
      </c>
      <c r="B46" s="103">
        <v>0</v>
      </c>
      <c r="C46" s="103">
        <v>0</v>
      </c>
      <c r="D46" s="103">
        <v>0</v>
      </c>
      <c r="E46" s="105">
        <f t="shared" si="0"/>
        <v>0</v>
      </c>
      <c r="F46" s="237">
        <v>0</v>
      </c>
      <c r="G46" s="237">
        <v>0</v>
      </c>
      <c r="H46" s="106">
        <v>3.4119999999999999</v>
      </c>
      <c r="I46" s="235" t="s">
        <v>294</v>
      </c>
    </row>
    <row r="47" spans="1:9" x14ac:dyDescent="0.25">
      <c r="A47" s="102" t="s">
        <v>331</v>
      </c>
      <c r="B47" s="103">
        <v>0</v>
      </c>
      <c r="C47" s="103">
        <v>0</v>
      </c>
      <c r="D47" s="103">
        <v>0</v>
      </c>
      <c r="E47" s="105">
        <f t="shared" si="0"/>
        <v>0</v>
      </c>
      <c r="F47" s="237">
        <v>0</v>
      </c>
      <c r="G47" s="237">
        <v>0</v>
      </c>
      <c r="H47" s="106">
        <v>3.4119999999999999</v>
      </c>
      <c r="I47" s="235" t="s">
        <v>294</v>
      </c>
    </row>
    <row r="48" spans="1:9" x14ac:dyDescent="0.25">
      <c r="A48" s="102" t="s">
        <v>332</v>
      </c>
      <c r="B48" s="103">
        <v>0</v>
      </c>
      <c r="C48" s="103">
        <v>0</v>
      </c>
      <c r="D48" s="103">
        <v>0</v>
      </c>
      <c r="E48" s="105">
        <f t="shared" si="0"/>
        <v>0</v>
      </c>
      <c r="F48" s="237">
        <v>0</v>
      </c>
      <c r="G48" s="237">
        <v>0</v>
      </c>
      <c r="H48" s="106">
        <v>3.4119999999999999</v>
      </c>
      <c r="I48" s="235" t="s">
        <v>294</v>
      </c>
    </row>
    <row r="49" spans="1:9" x14ac:dyDescent="0.25">
      <c r="A49" s="102" t="s">
        <v>333</v>
      </c>
      <c r="B49" s="103">
        <v>0</v>
      </c>
      <c r="C49" s="103">
        <v>0</v>
      </c>
      <c r="D49" s="103">
        <v>0</v>
      </c>
      <c r="E49" s="105">
        <f t="shared" si="0"/>
        <v>0</v>
      </c>
      <c r="F49" s="237">
        <v>0</v>
      </c>
      <c r="G49" s="237">
        <v>0</v>
      </c>
      <c r="H49" s="106">
        <v>3.4119999999999999</v>
      </c>
      <c r="I49" s="235" t="s">
        <v>294</v>
      </c>
    </row>
    <row r="50" spans="1:9" x14ac:dyDescent="0.25">
      <c r="A50" s="102" t="s">
        <v>334</v>
      </c>
      <c r="B50" s="103" t="s">
        <v>292</v>
      </c>
      <c r="C50" s="103" t="s">
        <v>292</v>
      </c>
      <c r="D50" s="103" t="s">
        <v>335</v>
      </c>
      <c r="E50" s="103" t="s">
        <v>335</v>
      </c>
      <c r="F50" s="235" t="s">
        <v>293</v>
      </c>
      <c r="G50" s="237">
        <v>0</v>
      </c>
      <c r="H50" s="109">
        <v>0</v>
      </c>
      <c r="I50" s="237">
        <v>0</v>
      </c>
    </row>
    <row r="51" spans="1:9" x14ac:dyDescent="0.25">
      <c r="A51" s="102" t="s">
        <v>336</v>
      </c>
      <c r="B51" s="103">
        <f>10.15/0.453592</f>
        <v>22.376937864865344</v>
      </c>
      <c r="C51" s="103">
        <f t="shared" ref="C51:C56" si="1">B51/2205</f>
        <v>1.0148271140528501E-2</v>
      </c>
      <c r="D51" s="103">
        <v>22.376937864865344</v>
      </c>
      <c r="E51" s="105">
        <f t="shared" ref="E51:E66" si="2">D51/$B$121</f>
        <v>1.0148271140528501E-2</v>
      </c>
      <c r="F51" s="235" t="s">
        <v>337</v>
      </c>
      <c r="G51" s="235" t="s">
        <v>323</v>
      </c>
      <c r="H51" s="238">
        <v>138.69047619047601</v>
      </c>
      <c r="I51" s="238" t="s">
        <v>294</v>
      </c>
    </row>
    <row r="52" spans="1:9" x14ac:dyDescent="0.25">
      <c r="A52" s="102" t="s">
        <v>338</v>
      </c>
      <c r="B52" s="103">
        <f>1.34/0.453592</f>
        <v>2.954196723046262</v>
      </c>
      <c r="C52" s="103">
        <f>B52/2205</f>
        <v>1.3397717564835655E-3</v>
      </c>
      <c r="D52" s="103">
        <v>2.954196723046262</v>
      </c>
      <c r="E52" s="105">
        <f t="shared" si="2"/>
        <v>1.3397717564835655E-3</v>
      </c>
      <c r="F52" s="235" t="s">
        <v>337</v>
      </c>
      <c r="G52" s="235" t="s">
        <v>323</v>
      </c>
      <c r="H52" s="238">
        <v>84.833333333333343</v>
      </c>
      <c r="I52" s="238" t="s">
        <v>294</v>
      </c>
    </row>
    <row r="53" spans="1:9" x14ac:dyDescent="0.25">
      <c r="A53" s="102" t="s">
        <v>339</v>
      </c>
      <c r="B53" s="103">
        <f>8.91/0.453592</f>
        <v>19.643203583837458</v>
      </c>
      <c r="C53" s="103">
        <f t="shared" si="1"/>
        <v>8.9084823509466924E-3</v>
      </c>
      <c r="D53" s="103">
        <v>19.643203583837458</v>
      </c>
      <c r="E53" s="105">
        <f t="shared" si="2"/>
        <v>8.9084823509466924E-3</v>
      </c>
      <c r="F53" s="235" t="s">
        <v>337</v>
      </c>
      <c r="G53" s="235" t="s">
        <v>323</v>
      </c>
      <c r="H53" s="238">
        <v>125.07142857142858</v>
      </c>
      <c r="I53" s="238" t="s">
        <v>294</v>
      </c>
    </row>
    <row r="54" spans="1:9" x14ac:dyDescent="0.25">
      <c r="A54" s="102" t="s">
        <v>340</v>
      </c>
      <c r="B54" s="103">
        <f>5.74/0.453592</f>
        <v>12.654544171854884</v>
      </c>
      <c r="C54" s="103">
        <f t="shared" si="1"/>
        <v>5.7390223001609446E-3</v>
      </c>
      <c r="D54" s="103">
        <v>12.782889945000001</v>
      </c>
      <c r="E54" s="105">
        <f t="shared" si="2"/>
        <v>5.7972290000000001E-3</v>
      </c>
      <c r="F54" s="235" t="s">
        <v>322</v>
      </c>
      <c r="G54" s="235" t="s">
        <v>323</v>
      </c>
      <c r="H54" s="106">
        <v>91.333333333333343</v>
      </c>
      <c r="I54" s="235" t="s">
        <v>294</v>
      </c>
    </row>
    <row r="55" spans="1:9" x14ac:dyDescent="0.25">
      <c r="A55" s="102" t="s">
        <v>341</v>
      </c>
      <c r="B55" s="103">
        <f>5.74/0.453592</f>
        <v>12.654544171854884</v>
      </c>
      <c r="C55" s="103">
        <f t="shared" si="1"/>
        <v>5.7390223001609446E-3</v>
      </c>
      <c r="D55" s="103">
        <v>12.654544171854884</v>
      </c>
      <c r="E55" s="105">
        <f t="shared" si="2"/>
        <v>5.7390223001609446E-3</v>
      </c>
      <c r="F55" s="235" t="s">
        <v>322</v>
      </c>
      <c r="G55" s="235" t="s">
        <v>323</v>
      </c>
      <c r="H55" s="106">
        <v>91.333333333333343</v>
      </c>
      <c r="I55" s="235" t="s">
        <v>294</v>
      </c>
    </row>
    <row r="56" spans="1:9" x14ac:dyDescent="0.25">
      <c r="A56" s="102" t="s">
        <v>342</v>
      </c>
      <c r="B56" s="103">
        <f>9.57/0.453592</f>
        <v>21.098255701158752</v>
      </c>
      <c r="C56" s="103">
        <f t="shared" si="1"/>
        <v>9.568369932498301E-3</v>
      </c>
      <c r="D56" s="103">
        <v>21.098255701158752</v>
      </c>
      <c r="E56" s="105">
        <f t="shared" si="2"/>
        <v>9.568369932498301E-3</v>
      </c>
      <c r="F56" s="235" t="s">
        <v>337</v>
      </c>
      <c r="G56" s="235" t="s">
        <v>323</v>
      </c>
      <c r="H56" s="238">
        <v>127.5</v>
      </c>
      <c r="I56" s="238" t="s">
        <v>294</v>
      </c>
    </row>
    <row r="57" spans="1:9" x14ac:dyDescent="0.25">
      <c r="A57" s="102" t="s">
        <v>343</v>
      </c>
      <c r="B57" s="103">
        <v>0</v>
      </c>
      <c r="C57" s="103">
        <v>0</v>
      </c>
      <c r="D57" s="103">
        <v>0</v>
      </c>
      <c r="E57" s="105">
        <f t="shared" si="2"/>
        <v>0</v>
      </c>
      <c r="F57" s="235">
        <v>0</v>
      </c>
      <c r="G57" s="235">
        <v>0</v>
      </c>
      <c r="H57" s="238">
        <v>120</v>
      </c>
      <c r="I57" s="238" t="s">
        <v>344</v>
      </c>
    </row>
    <row r="58" spans="1:9" x14ac:dyDescent="0.25">
      <c r="A58" s="102" t="s">
        <v>345</v>
      </c>
      <c r="B58" s="103">
        <v>0</v>
      </c>
      <c r="C58" s="103">
        <v>0</v>
      </c>
      <c r="D58" s="103">
        <v>0</v>
      </c>
      <c r="E58" s="105">
        <f t="shared" si="2"/>
        <v>0</v>
      </c>
      <c r="F58" s="235" t="s">
        <v>323</v>
      </c>
      <c r="G58" s="235" t="s">
        <v>323</v>
      </c>
      <c r="H58" s="238">
        <v>127.5952380952381</v>
      </c>
      <c r="I58" s="238" t="s">
        <v>294</v>
      </c>
    </row>
    <row r="59" spans="1:9" x14ac:dyDescent="0.25">
      <c r="A59" s="102" t="s">
        <v>346</v>
      </c>
      <c r="B59" s="103">
        <f>8.12/0.453592</f>
        <v>17.901550291892271</v>
      </c>
      <c r="C59" s="103">
        <f>B59/2205</f>
        <v>8.1186169124227991E-3</v>
      </c>
      <c r="D59" s="103">
        <v>17.901550291892271</v>
      </c>
      <c r="E59" s="105">
        <f t="shared" si="2"/>
        <v>8.1186169124227991E-3</v>
      </c>
      <c r="F59" s="235" t="s">
        <v>337</v>
      </c>
      <c r="G59" s="235" t="s">
        <v>323</v>
      </c>
      <c r="H59" s="238">
        <v>136</v>
      </c>
      <c r="I59" s="238" t="s">
        <v>347</v>
      </c>
    </row>
    <row r="60" spans="1:9" x14ac:dyDescent="0.25">
      <c r="A60" s="102" t="s">
        <v>348</v>
      </c>
      <c r="B60" s="103">
        <f>9.64/0.453592</f>
        <v>21.252579410571617</v>
      </c>
      <c r="C60" s="103">
        <f>B60/2205</f>
        <v>9.6383580093295316E-3</v>
      </c>
      <c r="D60" s="103">
        <v>21.252579410571617</v>
      </c>
      <c r="E60" s="105">
        <f t="shared" si="2"/>
        <v>9.6383580093295316E-3</v>
      </c>
      <c r="F60" s="235" t="s">
        <v>337</v>
      </c>
      <c r="G60" s="235" t="s">
        <v>323</v>
      </c>
      <c r="H60" s="238">
        <v>138</v>
      </c>
      <c r="I60" s="238" t="s">
        <v>347</v>
      </c>
    </row>
    <row r="61" spans="1:9" x14ac:dyDescent="0.25">
      <c r="A61" s="102" t="s">
        <v>349</v>
      </c>
      <c r="B61" s="103">
        <f>(0.0545*126.67)/0.453592</f>
        <v>15.219657754105011</v>
      </c>
      <c r="C61" s="103">
        <f>B61/2205</f>
        <v>6.9023391175079413E-3</v>
      </c>
      <c r="D61" s="103">
        <v>15.219657754105011</v>
      </c>
      <c r="E61" s="105">
        <f t="shared" si="2"/>
        <v>6.9023391175079413E-3</v>
      </c>
      <c r="F61" s="235" t="s">
        <v>337</v>
      </c>
      <c r="G61" s="235" t="s">
        <v>350</v>
      </c>
      <c r="H61" s="238">
        <v>22.452999999999999</v>
      </c>
      <c r="I61" s="238" t="s">
        <v>351</v>
      </c>
    </row>
    <row r="62" spans="1:9" x14ac:dyDescent="0.25">
      <c r="A62" s="102" t="s">
        <v>352</v>
      </c>
      <c r="B62" s="103">
        <f>4.46/0.453592</f>
        <v>9.8326249140196484</v>
      </c>
      <c r="C62" s="103">
        <f>B62/2205</f>
        <v>4.4592403238184345E-3</v>
      </c>
      <c r="D62" s="103">
        <v>9.8326249140196484</v>
      </c>
      <c r="E62" s="105">
        <f t="shared" si="2"/>
        <v>4.4592403238184345E-3</v>
      </c>
      <c r="F62" s="235" t="s">
        <v>337</v>
      </c>
      <c r="G62" s="235" t="s">
        <v>353</v>
      </c>
      <c r="H62" s="238">
        <v>84.82</v>
      </c>
      <c r="I62" s="238" t="s">
        <v>351</v>
      </c>
    </row>
    <row r="63" spans="1:9" x14ac:dyDescent="0.25">
      <c r="A63" s="102" t="s">
        <v>354</v>
      </c>
      <c r="B63" s="103" t="s">
        <v>355</v>
      </c>
      <c r="C63" s="103" t="s">
        <v>355</v>
      </c>
      <c r="D63" s="103">
        <v>207.82178691749999</v>
      </c>
      <c r="E63" s="105">
        <f t="shared" si="2"/>
        <v>9.4250243499999997E-2</v>
      </c>
      <c r="F63" s="235" t="s">
        <v>322</v>
      </c>
      <c r="G63" s="235" t="s">
        <v>356</v>
      </c>
      <c r="H63" s="106">
        <v>1194</v>
      </c>
      <c r="I63" s="235" t="s">
        <v>357</v>
      </c>
    </row>
    <row r="64" spans="1:9" x14ac:dyDescent="0.25">
      <c r="A64" s="102" t="s">
        <v>358</v>
      </c>
      <c r="B64" s="103">
        <f>(93.28*20191.5)/(0.453592*1000)</f>
        <v>4152.3287888675286</v>
      </c>
      <c r="C64" s="103">
        <f>B64/2205</f>
        <v>1.8831423078764302</v>
      </c>
      <c r="D64" s="103">
        <v>4192.1653267297497</v>
      </c>
      <c r="E64" s="105">
        <f t="shared" si="2"/>
        <v>1.9012087649568026</v>
      </c>
      <c r="F64" s="235" t="s">
        <v>322</v>
      </c>
      <c r="G64" s="235" t="s">
        <v>323</v>
      </c>
      <c r="H64" s="106">
        <v>20191.5</v>
      </c>
      <c r="I64" s="235" t="s">
        <v>294</v>
      </c>
    </row>
    <row r="65" spans="1:10" x14ac:dyDescent="0.25">
      <c r="A65" s="102" t="s">
        <v>359</v>
      </c>
      <c r="B65" s="103">
        <v>0</v>
      </c>
      <c r="C65" s="103">
        <v>0</v>
      </c>
      <c r="D65" s="103">
        <v>0</v>
      </c>
      <c r="E65" s="105">
        <f t="shared" si="2"/>
        <v>0</v>
      </c>
      <c r="F65" s="235" t="s">
        <v>360</v>
      </c>
      <c r="G65" s="235" t="s">
        <v>360</v>
      </c>
      <c r="H65" s="106">
        <v>16500</v>
      </c>
      <c r="I65" s="235" t="s">
        <v>361</v>
      </c>
    </row>
    <row r="66" spans="1:10" x14ac:dyDescent="0.25">
      <c r="A66" s="102" t="s">
        <v>362</v>
      </c>
      <c r="B66" s="103">
        <v>0</v>
      </c>
      <c r="C66" s="103">
        <v>0</v>
      </c>
      <c r="D66" s="103">
        <v>0</v>
      </c>
      <c r="E66" s="105">
        <f t="shared" si="2"/>
        <v>0</v>
      </c>
      <c r="F66" s="235" t="s">
        <v>360</v>
      </c>
      <c r="G66" s="235" t="s">
        <v>360</v>
      </c>
      <c r="H66" s="106">
        <v>22000</v>
      </c>
      <c r="I66" s="235" t="s">
        <v>361</v>
      </c>
    </row>
    <row r="67" spans="1:10" x14ac:dyDescent="0.25">
      <c r="I67" s="921" t="s">
        <v>363</v>
      </c>
      <c r="J67" s="921"/>
    </row>
    <row r="68" spans="1:10" x14ac:dyDescent="0.25">
      <c r="I68" s="921"/>
      <c r="J68" s="921"/>
    </row>
    <row r="69" spans="1:10" x14ac:dyDescent="0.25">
      <c r="I69" s="921"/>
      <c r="J69" s="921"/>
    </row>
    <row r="70" spans="1:10" x14ac:dyDescent="0.25">
      <c r="I70" s="921"/>
      <c r="J70" s="921"/>
    </row>
    <row r="71" spans="1:10" x14ac:dyDescent="0.25">
      <c r="I71" s="921"/>
      <c r="J71" s="921"/>
    </row>
    <row r="72" spans="1:10" x14ac:dyDescent="0.25">
      <c r="E72" s="233"/>
    </row>
    <row r="73" spans="1:10" ht="31.5" x14ac:dyDescent="0.5">
      <c r="A73" s="906" t="s">
        <v>364</v>
      </c>
      <c r="B73" s="906"/>
      <c r="C73" s="906"/>
      <c r="D73" s="906"/>
      <c r="E73" s="233"/>
      <c r="I73" s="233"/>
    </row>
    <row r="74" spans="1:10" x14ac:dyDescent="0.25">
      <c r="A74" s="240" t="s">
        <v>365</v>
      </c>
      <c r="B74" s="111" t="s">
        <v>366</v>
      </c>
      <c r="C74" s="240" t="s">
        <v>367</v>
      </c>
      <c r="D74" s="240" t="s">
        <v>368</v>
      </c>
      <c r="E74" s="233"/>
      <c r="I74" s="233"/>
    </row>
    <row r="75" spans="1:10" x14ac:dyDescent="0.25">
      <c r="A75" s="241" t="s">
        <v>369</v>
      </c>
      <c r="B75" s="112">
        <v>7600</v>
      </c>
      <c r="C75" s="922" t="s">
        <v>370</v>
      </c>
      <c r="D75" s="923"/>
      <c r="E75" s="233"/>
      <c r="I75" s="233"/>
    </row>
    <row r="76" spans="1:10" x14ac:dyDescent="0.25">
      <c r="A76" s="241" t="s">
        <v>371</v>
      </c>
      <c r="B76" s="112">
        <v>943</v>
      </c>
      <c r="C76" s="924"/>
      <c r="D76" s="925"/>
      <c r="E76" s="233"/>
      <c r="I76" s="233"/>
    </row>
    <row r="77" spans="1:10" x14ac:dyDescent="0.25">
      <c r="A77" s="241" t="s">
        <v>372</v>
      </c>
      <c r="B77" s="112">
        <v>800</v>
      </c>
      <c r="C77" s="924"/>
      <c r="D77" s="925"/>
      <c r="E77" s="233"/>
      <c r="I77" s="233"/>
    </row>
    <row r="78" spans="1:10" x14ac:dyDescent="0.25">
      <c r="A78" s="241" t="s">
        <v>373</v>
      </c>
      <c r="B78" s="112">
        <v>129</v>
      </c>
      <c r="C78" s="926"/>
      <c r="D78" s="927"/>
      <c r="E78" s="233"/>
      <c r="I78" s="233"/>
    </row>
    <row r="79" spans="1:10" x14ac:dyDescent="0.25">
      <c r="A79" s="242" t="s">
        <v>374</v>
      </c>
      <c r="B79" s="113">
        <v>7200</v>
      </c>
      <c r="C79" s="910" t="s">
        <v>375</v>
      </c>
      <c r="D79" s="911"/>
      <c r="E79" s="233"/>
      <c r="I79" s="233"/>
    </row>
    <row r="80" spans="1:10" x14ac:dyDescent="0.25">
      <c r="A80" s="242" t="s">
        <v>376</v>
      </c>
      <c r="B80" s="113">
        <v>1020</v>
      </c>
      <c r="C80" s="912"/>
      <c r="D80" s="913"/>
      <c r="E80" s="233"/>
      <c r="I80" s="233"/>
    </row>
    <row r="81" spans="1:9" x14ac:dyDescent="0.25">
      <c r="A81" s="242" t="s">
        <v>377</v>
      </c>
      <c r="B81" s="113">
        <v>800</v>
      </c>
      <c r="C81" s="912"/>
      <c r="D81" s="913"/>
      <c r="E81" s="233"/>
      <c r="I81" s="233"/>
    </row>
    <row r="82" spans="1:9" x14ac:dyDescent="0.25">
      <c r="A82" s="242" t="s">
        <v>378</v>
      </c>
      <c r="B82" s="113">
        <v>131.19999999999999</v>
      </c>
      <c r="C82" s="914"/>
      <c r="D82" s="915"/>
      <c r="E82" s="233"/>
      <c r="I82" s="233"/>
    </row>
    <row r="83" spans="1:9" ht="63.75" x14ac:dyDescent="0.25">
      <c r="A83" s="242" t="s">
        <v>379</v>
      </c>
      <c r="B83" s="114">
        <v>4.75</v>
      </c>
      <c r="C83" s="115" t="s">
        <v>380</v>
      </c>
      <c r="D83" s="243" t="s">
        <v>381</v>
      </c>
      <c r="E83" s="233"/>
      <c r="I83" s="233"/>
    </row>
    <row r="84" spans="1:9" x14ac:dyDescent="0.25">
      <c r="A84" s="905" t="s">
        <v>382</v>
      </c>
      <c r="B84" s="905"/>
      <c r="C84" s="905"/>
      <c r="D84" s="905"/>
    </row>
    <row r="86" spans="1:9" ht="31.5" x14ac:dyDescent="0.5">
      <c r="A86" s="906" t="s">
        <v>383</v>
      </c>
      <c r="B86" s="906"/>
      <c r="E86" s="233"/>
    </row>
    <row r="87" spans="1:9" x14ac:dyDescent="0.25">
      <c r="A87" s="240" t="s">
        <v>384</v>
      </c>
      <c r="B87" s="240" t="s">
        <v>385</v>
      </c>
      <c r="E87" s="233"/>
      <c r="F87" s="239"/>
      <c r="I87" s="233"/>
    </row>
    <row r="88" spans="1:9" x14ac:dyDescent="0.25">
      <c r="A88" s="242" t="s">
        <v>386</v>
      </c>
      <c r="B88" s="242" t="s">
        <v>387</v>
      </c>
      <c r="E88" s="233"/>
      <c r="F88" s="239"/>
      <c r="I88" s="233"/>
    </row>
    <row r="89" spans="1:9" x14ac:dyDescent="0.25">
      <c r="A89" s="242" t="s">
        <v>388</v>
      </c>
      <c r="B89" s="244" t="s">
        <v>389</v>
      </c>
      <c r="E89" s="233"/>
      <c r="F89" s="239"/>
      <c r="I89" s="233"/>
    </row>
    <row r="90" spans="1:9" x14ac:dyDescent="0.25">
      <c r="A90" s="242" t="s">
        <v>390</v>
      </c>
      <c r="B90" s="244" t="s">
        <v>391</v>
      </c>
      <c r="E90" s="233"/>
      <c r="F90" s="239"/>
      <c r="I90" s="233"/>
    </row>
    <row r="91" spans="1:9" x14ac:dyDescent="0.25">
      <c r="A91" s="242" t="s">
        <v>392</v>
      </c>
      <c r="B91" s="244" t="s">
        <v>393</v>
      </c>
      <c r="E91" s="233"/>
      <c r="I91" s="233"/>
    </row>
    <row r="92" spans="1:9" x14ac:dyDescent="0.25">
      <c r="A92" s="242" t="s">
        <v>394</v>
      </c>
      <c r="B92" s="242"/>
      <c r="E92" s="233"/>
      <c r="I92" s="233"/>
    </row>
    <row r="93" spans="1:9" x14ac:dyDescent="0.25">
      <c r="A93" s="242" t="s">
        <v>395</v>
      </c>
      <c r="B93" s="242"/>
      <c r="E93" s="233"/>
      <c r="I93" s="233"/>
    </row>
    <row r="94" spans="1:9" x14ac:dyDescent="0.25">
      <c r="E94" s="233"/>
    </row>
    <row r="95" spans="1:9" x14ac:dyDescent="0.25">
      <c r="E95" s="233"/>
    </row>
    <row r="96" spans="1:9" x14ac:dyDescent="0.25">
      <c r="A96" s="907" t="s">
        <v>396</v>
      </c>
      <c r="B96" s="907"/>
      <c r="C96" s="907"/>
      <c r="E96" s="233"/>
    </row>
    <row r="97" spans="1:9" x14ac:dyDescent="0.25">
      <c r="A97" s="245" t="s">
        <v>397</v>
      </c>
      <c r="B97" s="116" t="s">
        <v>398</v>
      </c>
      <c r="C97" s="245" t="s">
        <v>399</v>
      </c>
      <c r="E97" s="233"/>
      <c r="I97" s="233"/>
    </row>
    <row r="98" spans="1:9" x14ac:dyDescent="0.25">
      <c r="A98" s="244" t="s">
        <v>400</v>
      </c>
      <c r="B98" s="117">
        <v>0.13</v>
      </c>
      <c r="C98" s="242" t="s">
        <v>401</v>
      </c>
      <c r="E98" s="233"/>
      <c r="F98" s="239"/>
      <c r="I98" s="233"/>
    </row>
    <row r="99" spans="1:9" x14ac:dyDescent="0.25">
      <c r="A99" s="244" t="s">
        <v>402</v>
      </c>
      <c r="B99" s="117">
        <v>0.26</v>
      </c>
      <c r="C99" s="242"/>
      <c r="E99" s="233"/>
      <c r="F99" s="239"/>
      <c r="I99" s="233"/>
    </row>
    <row r="100" spans="1:9" x14ac:dyDescent="0.25">
      <c r="A100" s="244" t="s">
        <v>403</v>
      </c>
      <c r="B100" s="117">
        <v>0.38</v>
      </c>
      <c r="C100" s="242"/>
      <c r="E100" s="233"/>
      <c r="F100" s="239"/>
      <c r="I100" s="233"/>
    </row>
    <row r="102" spans="1:9" x14ac:dyDescent="0.25">
      <c r="E102" s="233"/>
    </row>
    <row r="103" spans="1:9" ht="31.5" x14ac:dyDescent="0.5">
      <c r="A103" s="908" t="s">
        <v>364</v>
      </c>
      <c r="B103" s="908"/>
      <c r="C103" s="908"/>
      <c r="D103" s="908"/>
      <c r="E103" s="233"/>
    </row>
    <row r="104" spans="1:9" x14ac:dyDescent="0.25">
      <c r="A104" s="246" t="s">
        <v>404</v>
      </c>
      <c r="B104" s="246" t="s">
        <v>405</v>
      </c>
      <c r="C104" s="909" t="s">
        <v>406</v>
      </c>
      <c r="D104" s="909"/>
      <c r="E104" s="233"/>
      <c r="F104" s="239"/>
      <c r="I104" s="233"/>
    </row>
    <row r="105" spans="1:9" x14ac:dyDescent="0.25">
      <c r="A105" s="242" t="s">
        <v>407</v>
      </c>
      <c r="B105" s="114">
        <v>1.1023099999999999</v>
      </c>
      <c r="C105" s="902" t="s">
        <v>408</v>
      </c>
      <c r="D105" s="902"/>
      <c r="E105" s="233"/>
      <c r="F105" s="239"/>
      <c r="I105" s="233"/>
    </row>
    <row r="106" spans="1:9" x14ac:dyDescent="0.25">
      <c r="A106" s="242" t="s">
        <v>409</v>
      </c>
      <c r="B106" s="114">
        <v>1000</v>
      </c>
      <c r="C106" s="902" t="s">
        <v>410</v>
      </c>
      <c r="D106" s="902"/>
      <c r="E106" s="233"/>
      <c r="F106" s="239"/>
      <c r="I106" s="233"/>
    </row>
    <row r="107" spans="1:9" x14ac:dyDescent="0.25">
      <c r="A107" s="247" t="s">
        <v>410</v>
      </c>
      <c r="B107" s="114">
        <v>8760</v>
      </c>
      <c r="C107" s="902" t="s">
        <v>411</v>
      </c>
      <c r="D107" s="902"/>
      <c r="E107" s="233"/>
      <c r="F107" s="239"/>
      <c r="I107" s="233"/>
    </row>
    <row r="108" spans="1:9" x14ac:dyDescent="0.25">
      <c r="A108" s="242" t="s">
        <v>412</v>
      </c>
      <c r="B108" s="114">
        <v>1000000</v>
      </c>
      <c r="C108" s="902" t="s">
        <v>410</v>
      </c>
      <c r="D108" s="902"/>
      <c r="E108" s="233"/>
      <c r="F108" s="239"/>
      <c r="I108" s="233"/>
    </row>
    <row r="109" spans="1:9" x14ac:dyDescent="0.25">
      <c r="A109" s="242" t="s">
        <v>413</v>
      </c>
      <c r="B109" s="114">
        <v>100</v>
      </c>
      <c r="C109" s="902" t="s">
        <v>414</v>
      </c>
      <c r="D109" s="902"/>
      <c r="E109" s="233"/>
      <c r="F109" s="239"/>
      <c r="I109" s="233"/>
    </row>
    <row r="110" spans="1:9" x14ac:dyDescent="0.25">
      <c r="A110" s="242" t="s">
        <v>414</v>
      </c>
      <c r="B110" s="114">
        <v>1000</v>
      </c>
      <c r="C110" s="902" t="s">
        <v>415</v>
      </c>
      <c r="D110" s="902"/>
      <c r="E110" s="233"/>
      <c r="F110" s="239"/>
      <c r="I110" s="233"/>
    </row>
    <row r="111" spans="1:9" x14ac:dyDescent="0.25">
      <c r="A111" s="242" t="s">
        <v>54</v>
      </c>
      <c r="B111" s="114">
        <v>1000000</v>
      </c>
      <c r="C111" s="902" t="s">
        <v>415</v>
      </c>
      <c r="D111" s="902"/>
      <c r="E111" s="233"/>
      <c r="F111" s="239"/>
      <c r="I111" s="233"/>
    </row>
    <row r="112" spans="1:9" x14ac:dyDescent="0.25">
      <c r="A112" s="242" t="s">
        <v>54</v>
      </c>
      <c r="B112" s="114">
        <v>10</v>
      </c>
      <c r="C112" s="902" t="s">
        <v>413</v>
      </c>
      <c r="D112" s="902"/>
      <c r="E112" s="233"/>
      <c r="F112" s="239"/>
      <c r="I112" s="233"/>
    </row>
    <row r="113" spans="1:9" x14ac:dyDescent="0.25">
      <c r="B113" s="110"/>
      <c r="E113" s="233"/>
      <c r="F113" s="239"/>
      <c r="I113" s="233"/>
    </row>
    <row r="114" spans="1:9" x14ac:dyDescent="0.25">
      <c r="A114" s="246" t="s">
        <v>365</v>
      </c>
      <c r="B114" s="246" t="s">
        <v>398</v>
      </c>
      <c r="C114" s="246" t="s">
        <v>404</v>
      </c>
      <c r="D114" s="903" t="s">
        <v>399</v>
      </c>
      <c r="E114" s="904"/>
      <c r="F114" s="239"/>
      <c r="I114" s="233"/>
    </row>
    <row r="115" spans="1:9" x14ac:dyDescent="0.25">
      <c r="A115" s="242" t="s">
        <v>416</v>
      </c>
      <c r="B115" s="242">
        <v>42</v>
      </c>
      <c r="C115" s="242" t="s">
        <v>417</v>
      </c>
      <c r="D115" s="900" t="s">
        <v>294</v>
      </c>
      <c r="E115" s="900"/>
      <c r="F115" s="239"/>
      <c r="I115" s="233"/>
    </row>
    <row r="116" spans="1:9" x14ac:dyDescent="0.25">
      <c r="A116" s="242" t="s">
        <v>418</v>
      </c>
      <c r="B116" s="242">
        <v>2000</v>
      </c>
      <c r="C116" s="242" t="s">
        <v>419</v>
      </c>
      <c r="D116" s="900" t="s">
        <v>294</v>
      </c>
      <c r="E116" s="900"/>
      <c r="F116" s="239"/>
      <c r="I116" s="233"/>
    </row>
    <row r="117" spans="1:9" x14ac:dyDescent="0.25">
      <c r="A117" s="242" t="s">
        <v>420</v>
      </c>
      <c r="B117" s="242">
        <v>2240</v>
      </c>
      <c r="C117" s="242" t="s">
        <v>419</v>
      </c>
      <c r="D117" s="900" t="s">
        <v>294</v>
      </c>
      <c r="E117" s="900"/>
      <c r="F117" s="239"/>
      <c r="I117" s="233"/>
    </row>
    <row r="118" spans="1:9" x14ac:dyDescent="0.25">
      <c r="A118" s="242" t="s">
        <v>421</v>
      </c>
      <c r="B118" s="242">
        <v>1000</v>
      </c>
      <c r="C118" s="242" t="s">
        <v>422</v>
      </c>
      <c r="D118" s="900" t="s">
        <v>294</v>
      </c>
      <c r="E118" s="900"/>
      <c r="F118" s="239"/>
      <c r="I118" s="233"/>
    </row>
    <row r="119" spans="1:9" x14ac:dyDescent="0.25">
      <c r="A119" s="242" t="s">
        <v>423</v>
      </c>
      <c r="B119" s="242">
        <v>1.25</v>
      </c>
      <c r="C119" s="242" t="s">
        <v>424</v>
      </c>
      <c r="D119" s="900" t="s">
        <v>294</v>
      </c>
      <c r="E119" s="900"/>
      <c r="F119" s="239"/>
      <c r="I119" s="233"/>
    </row>
    <row r="120" spans="1:9" x14ac:dyDescent="0.25">
      <c r="A120" s="242" t="s">
        <v>423</v>
      </c>
      <c r="B120" s="242">
        <v>128</v>
      </c>
      <c r="C120" s="242" t="s">
        <v>425</v>
      </c>
      <c r="D120" s="900" t="s">
        <v>294</v>
      </c>
      <c r="E120" s="900"/>
      <c r="F120" s="239"/>
      <c r="I120" s="233"/>
    </row>
    <row r="121" spans="1:9" x14ac:dyDescent="0.25">
      <c r="A121" s="242" t="s">
        <v>426</v>
      </c>
      <c r="B121" s="244">
        <v>2205</v>
      </c>
      <c r="C121" s="242" t="s">
        <v>419</v>
      </c>
      <c r="D121" s="901"/>
      <c r="E121" s="901"/>
      <c r="F121" s="239"/>
      <c r="I121" s="233"/>
    </row>
    <row r="122" spans="1:9" x14ac:dyDescent="0.25">
      <c r="B122" s="110"/>
      <c r="E122" s="233"/>
      <c r="F122" s="239"/>
      <c r="I122" s="233"/>
    </row>
  </sheetData>
  <mergeCells count="27">
    <mergeCell ref="C79:D82"/>
    <mergeCell ref="A12:G12"/>
    <mergeCell ref="H12:I12"/>
    <mergeCell ref="I67:J71"/>
    <mergeCell ref="A73:D73"/>
    <mergeCell ref="C75:D78"/>
    <mergeCell ref="C111:D111"/>
    <mergeCell ref="A84:D84"/>
    <mergeCell ref="A86:B86"/>
    <mergeCell ref="A96:C96"/>
    <mergeCell ref="A103:D103"/>
    <mergeCell ref="C104:D104"/>
    <mergeCell ref="C105:D105"/>
    <mergeCell ref="C106:D106"/>
    <mergeCell ref="C107:D107"/>
    <mergeCell ref="C108:D108"/>
    <mergeCell ref="C109:D109"/>
    <mergeCell ref="C110:D110"/>
    <mergeCell ref="D119:E119"/>
    <mergeCell ref="D120:E120"/>
    <mergeCell ref="D121:E121"/>
    <mergeCell ref="C112:D112"/>
    <mergeCell ref="D114:E114"/>
    <mergeCell ref="D115:E115"/>
    <mergeCell ref="D116:E116"/>
    <mergeCell ref="D117:E117"/>
    <mergeCell ref="D118:E118"/>
  </mergeCells>
  <hyperlinks>
    <hyperlink ref="C83" r:id="rId1" location="vehicles"/>
    <hyperlink ref="G62" r:id="rId2"/>
    <hyperlink ref="G61" r:id="rId3"/>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B1:M30"/>
  <sheetViews>
    <sheetView showGridLines="0" topLeftCell="A25" zoomScaleNormal="100" workbookViewId="0">
      <selection activeCell="G26" sqref="G26"/>
    </sheetView>
  </sheetViews>
  <sheetFormatPr defaultColWidth="0" defaultRowHeight="12.75" zeroHeight="1" x14ac:dyDescent="0.2"/>
  <cols>
    <col min="1" max="1" width="3.42578125" style="118" customWidth="1"/>
    <col min="2" max="2" width="3.7109375" style="118" customWidth="1"/>
    <col min="3" max="3" width="11" style="118" customWidth="1"/>
    <col min="4" max="4" width="13.42578125" style="118" customWidth="1"/>
    <col min="5" max="5" width="12.85546875" style="118" customWidth="1"/>
    <col min="6" max="6" width="11.42578125" style="118" customWidth="1"/>
    <col min="7" max="7" width="14.7109375" style="118" customWidth="1"/>
    <col min="8" max="8" width="16.42578125" style="118" customWidth="1"/>
    <col min="9" max="9" width="12.5703125" style="118" customWidth="1"/>
    <col min="10" max="10" width="14" style="118" customWidth="1"/>
    <col min="11" max="11" width="12.85546875" style="118" customWidth="1"/>
    <col min="12" max="12" width="17.42578125" style="118" customWidth="1"/>
    <col min="13" max="13" width="4.42578125" style="118" customWidth="1"/>
    <col min="14" max="14" width="8.85546875" style="118" customWidth="1"/>
    <col min="15" max="16384" width="0" style="118" hidden="1"/>
  </cols>
  <sheetData>
    <row r="1" spans="2:13" ht="13.5" thickBot="1" x14ac:dyDescent="0.25"/>
    <row r="2" spans="2:13" x14ac:dyDescent="0.2">
      <c r="B2" s="119"/>
      <c r="C2" s="120"/>
      <c r="D2" s="120"/>
      <c r="E2" s="120"/>
      <c r="F2" s="120"/>
      <c r="G2" s="120"/>
      <c r="H2" s="120"/>
      <c r="I2" s="120"/>
      <c r="J2" s="120"/>
      <c r="K2" s="120"/>
      <c r="L2" s="120"/>
      <c r="M2" s="121"/>
    </row>
    <row r="3" spans="2:13" ht="18.75" customHeight="1" thickBot="1" x14ac:dyDescent="0.25">
      <c r="B3" s="122"/>
      <c r="C3" s="199" t="s">
        <v>133</v>
      </c>
      <c r="D3" s="31"/>
      <c r="E3" s="31"/>
      <c r="F3" s="31"/>
      <c r="G3" s="31"/>
      <c r="H3" s="31"/>
      <c r="I3" s="31"/>
      <c r="J3" s="31"/>
      <c r="K3" s="31"/>
      <c r="L3" s="31"/>
      <c r="M3" s="124"/>
    </row>
    <row r="4" spans="2:13" ht="13.5" thickBot="1" x14ac:dyDescent="0.25">
      <c r="B4" s="122"/>
      <c r="C4" s="255" t="s">
        <v>123</v>
      </c>
      <c r="D4" s="256"/>
      <c r="E4" s="256"/>
      <c r="F4" s="256"/>
      <c r="G4" s="257"/>
      <c r="H4" s="465" t="s">
        <v>507</v>
      </c>
      <c r="I4" s="200"/>
      <c r="J4" s="31"/>
      <c r="K4" s="31"/>
      <c r="L4" s="31"/>
      <c r="M4" s="124"/>
    </row>
    <row r="5" spans="2:13" ht="13.5" thickBot="1" x14ac:dyDescent="0.25">
      <c r="B5" s="122"/>
      <c r="C5" s="255"/>
      <c r="D5" s="256"/>
      <c r="E5" s="256"/>
      <c r="F5" s="256"/>
      <c r="G5" s="257"/>
      <c r="H5" s="200"/>
      <c r="I5" s="200"/>
      <c r="J5" s="31"/>
      <c r="K5" s="31"/>
      <c r="L5" s="31"/>
      <c r="M5" s="124"/>
    </row>
    <row r="6" spans="2:13" ht="13.5" thickBot="1" x14ac:dyDescent="0.25">
      <c r="B6" s="122"/>
      <c r="C6" s="255" t="s">
        <v>124</v>
      </c>
      <c r="D6" s="256"/>
      <c r="E6" s="256"/>
      <c r="F6" s="256"/>
      <c r="G6" s="257"/>
      <c r="H6" s="465" t="s">
        <v>145</v>
      </c>
      <c r="I6" s="31"/>
      <c r="J6" s="31"/>
      <c r="K6" s="31"/>
      <c r="L6" s="31"/>
      <c r="M6" s="124"/>
    </row>
    <row r="7" spans="2:13" ht="13.5" thickBot="1" x14ac:dyDescent="0.25">
      <c r="B7" s="122"/>
      <c r="C7" s="201"/>
      <c r="D7" s="202"/>
      <c r="E7" s="202"/>
      <c r="F7" s="202"/>
      <c r="G7" s="203"/>
      <c r="H7" s="31"/>
      <c r="I7" s="31"/>
      <c r="J7" s="31"/>
      <c r="K7" s="31"/>
      <c r="L7" s="31"/>
      <c r="M7" s="124"/>
    </row>
    <row r="8" spans="2:13" ht="111" customHeight="1" thickBot="1" x14ac:dyDescent="0.25">
      <c r="B8" s="122"/>
      <c r="C8" s="700" t="s">
        <v>273</v>
      </c>
      <c r="D8" s="713"/>
      <c r="E8" s="713"/>
      <c r="F8" s="713"/>
      <c r="G8" s="713"/>
      <c r="H8" s="713"/>
      <c r="I8" s="713"/>
      <c r="J8" s="713"/>
      <c r="K8" s="713"/>
      <c r="L8" s="248" t="s">
        <v>268</v>
      </c>
      <c r="M8" s="124"/>
    </row>
    <row r="9" spans="2:13" ht="12.75" customHeight="1" thickBot="1" x14ac:dyDescent="0.25">
      <c r="B9" s="122"/>
      <c r="C9" s="204"/>
      <c r="D9" s="205"/>
      <c r="E9" s="205"/>
      <c r="F9" s="205"/>
      <c r="G9" s="205"/>
      <c r="H9" s="205"/>
      <c r="I9" s="205"/>
      <c r="J9" s="205"/>
      <c r="K9" s="205"/>
      <c r="L9" s="205"/>
      <c r="M9" s="124"/>
    </row>
    <row r="10" spans="2:13" ht="82.5" customHeight="1" thickBot="1" x14ac:dyDescent="0.25">
      <c r="B10" s="122"/>
      <c r="C10" s="697" t="s">
        <v>269</v>
      </c>
      <c r="D10" s="699"/>
      <c r="E10" s="699"/>
      <c r="F10" s="699"/>
      <c r="G10" s="699"/>
      <c r="H10" s="699"/>
      <c r="I10" s="699"/>
      <c r="J10" s="699"/>
      <c r="K10" s="699"/>
      <c r="L10" s="248" t="s">
        <v>268</v>
      </c>
      <c r="M10" s="124"/>
    </row>
    <row r="11" spans="2:13" ht="9" customHeight="1" thickBot="1" x14ac:dyDescent="0.25">
      <c r="B11" s="122"/>
      <c r="C11" s="206"/>
      <c r="D11" s="207"/>
      <c r="E11" s="207"/>
      <c r="F11" s="207"/>
      <c r="G11" s="207"/>
      <c r="H11" s="207"/>
      <c r="I11" s="207"/>
      <c r="J11" s="207"/>
      <c r="K11" s="207"/>
      <c r="L11" s="207"/>
      <c r="M11" s="124"/>
    </row>
    <row r="12" spans="2:13" s="210" customFormat="1" ht="49.5" customHeight="1" thickBot="1" x14ac:dyDescent="0.25">
      <c r="B12" s="208"/>
      <c r="C12" s="697" t="s">
        <v>270</v>
      </c>
      <c r="D12" s="699"/>
      <c r="E12" s="699"/>
      <c r="F12" s="699"/>
      <c r="G12" s="699"/>
      <c r="H12" s="699"/>
      <c r="I12" s="699"/>
      <c r="J12" s="699"/>
      <c r="K12" s="699"/>
      <c r="L12" s="248" t="s">
        <v>268</v>
      </c>
      <c r="M12" s="209"/>
    </row>
    <row r="13" spans="2:13" s="210" customFormat="1" ht="9.75" customHeight="1" thickBot="1" x14ac:dyDescent="0.25">
      <c r="B13" s="208"/>
      <c r="C13" s="434"/>
      <c r="D13" s="435"/>
      <c r="E13" s="435"/>
      <c r="F13" s="435"/>
      <c r="G13" s="435"/>
      <c r="H13" s="435"/>
      <c r="I13" s="435"/>
      <c r="J13" s="435"/>
      <c r="K13" s="435"/>
      <c r="L13" s="439"/>
      <c r="M13" s="209"/>
    </row>
    <row r="14" spans="2:13" s="210" customFormat="1" ht="49.5" customHeight="1" thickBot="1" x14ac:dyDescent="0.25">
      <c r="B14" s="208"/>
      <c r="C14" s="719" t="s">
        <v>137</v>
      </c>
      <c r="D14" s="720"/>
      <c r="E14" s="720"/>
      <c r="F14" s="720"/>
      <c r="G14" s="720"/>
      <c r="H14" s="720"/>
      <c r="I14" s="720"/>
      <c r="J14" s="720"/>
      <c r="K14" s="721"/>
      <c r="L14" s="439"/>
      <c r="M14" s="209"/>
    </row>
    <row r="15" spans="2:13" ht="15.75" customHeight="1" x14ac:dyDescent="0.2">
      <c r="B15" s="122"/>
      <c r="C15" s="211"/>
      <c r="D15" s="212"/>
      <c r="E15" s="212"/>
      <c r="F15" s="212"/>
      <c r="G15" s="212"/>
      <c r="H15" s="212"/>
      <c r="I15" s="212"/>
      <c r="J15" s="212"/>
      <c r="K15" s="212"/>
      <c r="L15" s="212"/>
      <c r="M15" s="124"/>
    </row>
    <row r="16" spans="2:13" ht="13.5" customHeight="1" thickBot="1" x14ac:dyDescent="0.25">
      <c r="B16" s="122"/>
      <c r="C16" s="213" t="s">
        <v>131</v>
      </c>
      <c r="D16" s="212"/>
      <c r="E16" s="212"/>
      <c r="F16" s="212"/>
      <c r="G16" s="212"/>
      <c r="H16" s="212"/>
      <c r="I16" s="212"/>
      <c r="J16" s="212"/>
      <c r="K16" s="212"/>
      <c r="L16" s="212"/>
      <c r="M16" s="124"/>
    </row>
    <row r="17" spans="2:13" ht="36.75" customHeight="1" thickBot="1" x14ac:dyDescent="0.25">
      <c r="B17" s="122"/>
      <c r="C17" s="697" t="s">
        <v>171</v>
      </c>
      <c r="D17" s="699"/>
      <c r="E17" s="699"/>
      <c r="F17" s="699"/>
      <c r="G17" s="699"/>
      <c r="H17" s="699"/>
      <c r="I17" s="699"/>
      <c r="J17" s="699"/>
      <c r="K17" s="699"/>
      <c r="L17" s="248" t="s">
        <v>267</v>
      </c>
      <c r="M17" s="124"/>
    </row>
    <row r="18" spans="2:13" ht="13.5" customHeight="1" x14ac:dyDescent="0.2">
      <c r="B18" s="122"/>
      <c r="C18" s="717" t="s">
        <v>271</v>
      </c>
      <c r="D18" s="718"/>
      <c r="E18" s="718"/>
      <c r="F18" s="718"/>
      <c r="G18" s="718"/>
      <c r="H18" s="718"/>
      <c r="I18" s="718"/>
      <c r="J18" s="718"/>
      <c r="K18" s="718"/>
      <c r="L18" s="212"/>
      <c r="M18" s="124"/>
    </row>
    <row r="19" spans="2:13" ht="13.5" customHeight="1" x14ac:dyDescent="0.2">
      <c r="B19" s="122"/>
      <c r="C19" s="212"/>
      <c r="D19" s="212"/>
      <c r="E19" s="212"/>
      <c r="F19" s="212"/>
      <c r="G19" s="212"/>
      <c r="H19" s="212"/>
      <c r="I19" s="212"/>
      <c r="J19" s="212"/>
      <c r="K19" s="212"/>
      <c r="L19" s="212"/>
      <c r="M19" s="124"/>
    </row>
    <row r="20" spans="2:13" ht="13.5" thickBot="1" x14ac:dyDescent="0.25">
      <c r="B20" s="122"/>
      <c r="C20" s="31"/>
      <c r="D20" s="31"/>
      <c r="E20" s="31"/>
      <c r="F20" s="31"/>
      <c r="G20" s="31"/>
      <c r="H20" s="31"/>
      <c r="I20" s="31"/>
      <c r="J20" s="31"/>
      <c r="K20" s="31"/>
      <c r="L20" s="31"/>
      <c r="M20" s="124"/>
    </row>
    <row r="21" spans="2:13" s="137" customFormat="1" ht="60" customHeight="1" x14ac:dyDescent="0.25">
      <c r="B21" s="143"/>
      <c r="C21" s="714" t="s">
        <v>461</v>
      </c>
      <c r="D21" s="715"/>
      <c r="E21" s="715"/>
      <c r="F21" s="715"/>
      <c r="G21" s="715"/>
      <c r="H21" s="715"/>
      <c r="I21" s="715"/>
      <c r="J21" s="715"/>
      <c r="K21" s="715"/>
      <c r="L21" s="716"/>
      <c r="M21" s="144"/>
    </row>
    <row r="22" spans="2:13" s="137" customFormat="1" ht="24.75" customHeight="1" x14ac:dyDescent="0.2">
      <c r="B22" s="143"/>
      <c r="C22" s="710" t="s">
        <v>462</v>
      </c>
      <c r="D22" s="711"/>
      <c r="E22" s="711"/>
      <c r="F22" s="711"/>
      <c r="G22" s="711"/>
      <c r="H22" s="711"/>
      <c r="I22" s="711"/>
      <c r="J22" s="711"/>
      <c r="K22" s="711"/>
      <c r="L22" s="712"/>
      <c r="M22" s="144"/>
    </row>
    <row r="23" spans="2:13" s="189" customFormat="1" ht="63.75" x14ac:dyDescent="0.2">
      <c r="B23" s="187"/>
      <c r="C23" s="215" t="s">
        <v>76</v>
      </c>
      <c r="D23" s="216" t="s">
        <v>82</v>
      </c>
      <c r="E23" s="217" t="s">
        <v>170</v>
      </c>
      <c r="F23" s="216" t="s">
        <v>77</v>
      </c>
      <c r="G23" s="216" t="s">
        <v>78</v>
      </c>
      <c r="H23" s="216" t="s">
        <v>83</v>
      </c>
      <c r="I23" s="216" t="s">
        <v>36</v>
      </c>
      <c r="J23" s="216" t="s">
        <v>79</v>
      </c>
      <c r="K23" s="216" t="s">
        <v>80</v>
      </c>
      <c r="L23" s="218" t="s">
        <v>81</v>
      </c>
      <c r="M23" s="188"/>
    </row>
    <row r="24" spans="2:13" ht="71.25" customHeight="1" thickBot="1" x14ac:dyDescent="0.25">
      <c r="B24" s="122"/>
      <c r="C24" s="687" t="s">
        <v>860</v>
      </c>
      <c r="D24" s="425" t="s">
        <v>853</v>
      </c>
      <c r="E24" s="425" t="s">
        <v>852</v>
      </c>
      <c r="F24" s="425" t="s">
        <v>854</v>
      </c>
      <c r="G24" s="425" t="s">
        <v>861</v>
      </c>
      <c r="H24" s="425" t="s">
        <v>855</v>
      </c>
      <c r="I24" s="425" t="s">
        <v>89</v>
      </c>
      <c r="J24" s="428">
        <v>41169</v>
      </c>
      <c r="K24" s="428">
        <v>41183</v>
      </c>
      <c r="L24" s="426" t="s">
        <v>856</v>
      </c>
      <c r="M24" s="124"/>
    </row>
    <row r="25" spans="2:13" ht="64.5" thickBot="1" x14ac:dyDescent="0.25">
      <c r="B25" s="122"/>
      <c r="C25" s="687" t="s">
        <v>863</v>
      </c>
      <c r="D25" s="425" t="s">
        <v>853</v>
      </c>
      <c r="E25" s="425" t="s">
        <v>852</v>
      </c>
      <c r="F25" s="425" t="s">
        <v>864</v>
      </c>
      <c r="G25" s="425" t="s">
        <v>865</v>
      </c>
      <c r="H25" s="425" t="s">
        <v>855</v>
      </c>
      <c r="I25" s="693" t="s">
        <v>842</v>
      </c>
      <c r="J25" s="692" t="s">
        <v>842</v>
      </c>
      <c r="K25" s="428"/>
      <c r="L25" s="426" t="s">
        <v>856</v>
      </c>
      <c r="M25" s="124"/>
    </row>
    <row r="26" spans="2:13" ht="49.5" customHeight="1" x14ac:dyDescent="0.2">
      <c r="B26" s="122"/>
      <c r="C26" s="429"/>
      <c r="D26" s="430"/>
      <c r="E26" s="430"/>
      <c r="F26" s="430"/>
      <c r="G26" s="430"/>
      <c r="H26" s="425"/>
      <c r="I26" s="425"/>
      <c r="J26" s="428"/>
      <c r="K26" s="428"/>
      <c r="L26" s="431"/>
      <c r="M26" s="124"/>
    </row>
    <row r="27" spans="2:13" ht="100.5" customHeight="1" thickBot="1" x14ac:dyDescent="0.25">
      <c r="B27" s="122"/>
      <c r="C27" s="404" t="s">
        <v>452</v>
      </c>
      <c r="D27" s="405"/>
      <c r="E27" s="405"/>
      <c r="F27" s="405"/>
      <c r="G27" s="405"/>
      <c r="H27" s="405"/>
      <c r="I27" s="405"/>
      <c r="J27" s="432"/>
      <c r="K27" s="432"/>
      <c r="L27" s="406"/>
      <c r="M27" s="124"/>
    </row>
    <row r="28" spans="2:13" ht="13.5" thickBot="1" x14ac:dyDescent="0.25">
      <c r="B28" s="133"/>
      <c r="C28" s="184"/>
      <c r="D28" s="184"/>
      <c r="E28" s="184"/>
      <c r="F28" s="184"/>
      <c r="G28" s="184"/>
      <c r="H28" s="184"/>
      <c r="I28" s="184"/>
      <c r="J28" s="184"/>
      <c r="K28" s="184"/>
      <c r="L28" s="184"/>
      <c r="M28" s="135"/>
    </row>
    <row r="29" spans="2:13" ht="60.75" customHeight="1" x14ac:dyDescent="0.2">
      <c r="C29" s="708" t="s">
        <v>862</v>
      </c>
      <c r="D29" s="709"/>
      <c r="E29" s="709"/>
      <c r="F29" s="709"/>
      <c r="G29" s="709"/>
      <c r="H29" s="709"/>
      <c r="I29" s="709"/>
      <c r="J29" s="709"/>
      <c r="K29" s="709"/>
    </row>
    <row r="30" spans="2:13" hidden="1" x14ac:dyDescent="0.2">
      <c r="C30" s="688" t="s">
        <v>851</v>
      </c>
      <c r="D30" s="689"/>
      <c r="E30" s="689"/>
      <c r="F30" s="689"/>
      <c r="G30" s="689"/>
      <c r="H30" s="689"/>
      <c r="I30" s="689"/>
      <c r="J30" s="689"/>
      <c r="K30" s="689"/>
    </row>
  </sheetData>
  <sheetProtection formatCells="0" insertRows="0" deleteRows="0" selectLockedCells="1" sort="0"/>
  <mergeCells count="9">
    <mergeCell ref="C29:K29"/>
    <mergeCell ref="C22:L22"/>
    <mergeCell ref="C8:K8"/>
    <mergeCell ref="C21:L21"/>
    <mergeCell ref="C17:K17"/>
    <mergeCell ref="C18:K18"/>
    <mergeCell ref="C10:K10"/>
    <mergeCell ref="C12:K12"/>
    <mergeCell ref="C14:K14"/>
  </mergeCells>
  <phoneticPr fontId="16" type="noConversion"/>
  <dataValidations count="2">
    <dataValidation allowBlank="1" showDropDown="1" showInputMessage="1" showErrorMessage="1" sqref="H5"/>
    <dataValidation type="list" allowBlank="1" showInputMessage="1" showErrorMessage="1" sqref="L17 L8 L10 L12:L14">
      <formula1>ListYN</formula1>
    </dataValidation>
  </dataValidations>
  <hyperlinks>
    <hyperlink ref="C22:L22" location="'Crit 1 &amp; 2 - Table 1 Sample'!A1" display="Click here to view a sample version of this table. "/>
  </hyperlinks>
  <pageMargins left="0.75" right="0.75" top="1" bottom="1" header="0.5" footer="0.5"/>
  <pageSetup scale="93" orientation="landscape" r:id="rId1"/>
  <headerFooter alignWithMargins="0">
    <oddFooter>&amp;L&amp;F</oddFooter>
  </headerFooter>
  <rowBreaks count="1" manualBreakCount="1">
    <brk id="18" min="2"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'DOER reference'!C1:C3</xm:f>
          </x14:formula1>
          <xm:sqref>H6</xm:sqref>
        </x14:dataValidation>
        <x14:dataValidation type="list" showInputMessage="1" showErrorMessage="1">
          <x14:formula1>
            <xm:f>'DOER reference'!B1:B8</xm:f>
          </x14:formula1>
          <xm:sqref>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8000"/>
  </sheetPr>
  <dimension ref="B1:M27"/>
  <sheetViews>
    <sheetView showGridLines="0" zoomScale="85" zoomScaleNormal="85" workbookViewId="0">
      <selection activeCell="C3" sqref="C3"/>
    </sheetView>
  </sheetViews>
  <sheetFormatPr defaultColWidth="0" defaultRowHeight="12.75" customHeight="1" zeroHeight="1" x14ac:dyDescent="0.2"/>
  <cols>
    <col min="1" max="1" width="3.42578125" style="118" customWidth="1"/>
    <col min="2" max="2" width="3.7109375" style="118" customWidth="1"/>
    <col min="3" max="3" width="11" style="118" customWidth="1"/>
    <col min="4" max="4" width="13.42578125" style="118" customWidth="1"/>
    <col min="5" max="5" width="12.85546875" style="118" customWidth="1"/>
    <col min="6" max="6" width="11.42578125" style="118" customWidth="1"/>
    <col min="7" max="8" width="14.7109375" style="118" customWidth="1"/>
    <col min="9" max="9" width="12.5703125" style="118" customWidth="1"/>
    <col min="10" max="10" width="14" style="118" customWidth="1"/>
    <col min="11" max="11" width="12.85546875" style="118" customWidth="1"/>
    <col min="12" max="12" width="17.42578125" style="118" customWidth="1"/>
    <col min="13" max="13" width="4.42578125" style="118" customWidth="1"/>
    <col min="14" max="14" width="8.85546875" style="118" customWidth="1"/>
    <col min="15" max="16384" width="0" style="118" hidden="1"/>
  </cols>
  <sheetData>
    <row r="1" spans="2:13" ht="13.5" thickBot="1" x14ac:dyDescent="0.25"/>
    <row r="2" spans="2:13" x14ac:dyDescent="0.2">
      <c r="B2" s="119"/>
      <c r="C2" s="120"/>
      <c r="D2" s="120"/>
      <c r="E2" s="120"/>
      <c r="F2" s="120"/>
      <c r="G2" s="120"/>
      <c r="H2" s="120"/>
      <c r="I2" s="120"/>
      <c r="J2" s="120"/>
      <c r="K2" s="120"/>
      <c r="L2" s="120"/>
      <c r="M2" s="121"/>
    </row>
    <row r="3" spans="2:13" ht="15" x14ac:dyDescent="0.25">
      <c r="B3" s="122"/>
      <c r="C3" s="433" t="s">
        <v>460</v>
      </c>
      <c r="D3" s="31"/>
      <c r="E3" s="31"/>
      <c r="F3" s="31"/>
      <c r="G3" s="31"/>
      <c r="H3" s="31"/>
      <c r="I3" s="31"/>
      <c r="J3" s="31"/>
      <c r="K3" s="31"/>
      <c r="L3" s="31"/>
      <c r="M3" s="124"/>
    </row>
    <row r="4" spans="2:13" ht="13.5" thickBot="1" x14ac:dyDescent="0.25">
      <c r="B4" s="122"/>
      <c r="C4" s="31"/>
      <c r="D4" s="31"/>
      <c r="E4" s="31"/>
      <c r="F4" s="31"/>
      <c r="G4" s="31"/>
      <c r="H4" s="31"/>
      <c r="I4" s="31"/>
      <c r="J4" s="31"/>
      <c r="K4" s="31"/>
      <c r="L4" s="31"/>
      <c r="M4" s="124"/>
    </row>
    <row r="5" spans="2:13" s="137" customFormat="1" ht="15" x14ac:dyDescent="0.25">
      <c r="B5" s="143"/>
      <c r="C5" s="722" t="s">
        <v>459</v>
      </c>
      <c r="D5" s="723"/>
      <c r="E5" s="723"/>
      <c r="F5" s="723"/>
      <c r="G5" s="723"/>
      <c r="H5" s="723"/>
      <c r="I5" s="723"/>
      <c r="J5" s="723"/>
      <c r="K5" s="723"/>
      <c r="L5" s="724"/>
      <c r="M5" s="144"/>
    </row>
    <row r="6" spans="2:13" s="189" customFormat="1" ht="63.75" x14ac:dyDescent="0.2">
      <c r="B6" s="187"/>
      <c r="C6" s="215" t="s">
        <v>76</v>
      </c>
      <c r="D6" s="216" t="s">
        <v>82</v>
      </c>
      <c r="E6" s="217" t="s">
        <v>170</v>
      </c>
      <c r="F6" s="216" t="s">
        <v>77</v>
      </c>
      <c r="G6" s="216" t="s">
        <v>78</v>
      </c>
      <c r="H6" s="216" t="s">
        <v>83</v>
      </c>
      <c r="I6" s="216" t="s">
        <v>36</v>
      </c>
      <c r="J6" s="216" t="s">
        <v>79</v>
      </c>
      <c r="K6" s="216" t="s">
        <v>80</v>
      </c>
      <c r="L6" s="218" t="s">
        <v>81</v>
      </c>
      <c r="M6" s="188"/>
    </row>
    <row r="7" spans="2:13" ht="57" customHeight="1" x14ac:dyDescent="0.2">
      <c r="B7" s="122"/>
      <c r="C7" s="258" t="s">
        <v>84</v>
      </c>
      <c r="D7" s="259" t="s">
        <v>85</v>
      </c>
      <c r="E7" s="259" t="s">
        <v>172</v>
      </c>
      <c r="F7" s="259" t="s">
        <v>86</v>
      </c>
      <c r="G7" s="259" t="s">
        <v>87</v>
      </c>
      <c r="H7" s="259" t="s">
        <v>88</v>
      </c>
      <c r="I7" s="259" t="s">
        <v>89</v>
      </c>
      <c r="J7" s="260">
        <v>40483</v>
      </c>
      <c r="K7" s="260">
        <v>40564</v>
      </c>
      <c r="L7" s="261" t="s">
        <v>90</v>
      </c>
      <c r="M7" s="124"/>
    </row>
    <row r="8" spans="2:13" ht="57" customHeight="1" x14ac:dyDescent="0.2">
      <c r="B8" s="122"/>
      <c r="C8" s="262"/>
      <c r="D8" s="263"/>
      <c r="E8" s="263"/>
      <c r="F8" s="263"/>
      <c r="G8" s="263"/>
      <c r="H8" s="259" t="s">
        <v>91</v>
      </c>
      <c r="I8" s="259" t="s">
        <v>89</v>
      </c>
      <c r="J8" s="260">
        <v>40467</v>
      </c>
      <c r="K8" s="260">
        <v>40514</v>
      </c>
      <c r="L8" s="264"/>
      <c r="M8" s="124"/>
    </row>
    <row r="9" spans="2:13" ht="100.5" customHeight="1" thickBot="1" x14ac:dyDescent="0.25">
      <c r="B9" s="122"/>
      <c r="C9" s="265"/>
      <c r="D9" s="266"/>
      <c r="E9" s="266"/>
      <c r="F9" s="266"/>
      <c r="G9" s="266"/>
      <c r="H9" s="266"/>
      <c r="I9" s="266"/>
      <c r="J9" s="267"/>
      <c r="K9" s="267"/>
      <c r="L9" s="268"/>
      <c r="M9" s="124"/>
    </row>
    <row r="10" spans="2:13" ht="13.5" thickBot="1" x14ac:dyDescent="0.25">
      <c r="B10" s="133"/>
      <c r="C10" s="184"/>
      <c r="D10" s="184"/>
      <c r="E10" s="184"/>
      <c r="F10" s="184"/>
      <c r="G10" s="184"/>
      <c r="H10" s="184"/>
      <c r="I10" s="184"/>
      <c r="J10" s="184"/>
      <c r="K10" s="184"/>
      <c r="L10" s="184"/>
      <c r="M10" s="135"/>
    </row>
    <row r="11" spans="2:13" x14ac:dyDescent="0.2"/>
    <row r="12" spans="2:13" ht="12.75" customHeight="1" x14ac:dyDescent="0.2"/>
    <row r="13" spans="2:13" ht="12.75" customHeight="1" x14ac:dyDescent="0.2"/>
    <row r="14" spans="2:13" ht="12.75" customHeight="1" x14ac:dyDescent="0.2"/>
    <row r="15" spans="2:13" ht="12.75" customHeight="1" x14ac:dyDescent="0.2"/>
    <row r="16" spans="2:13"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sheetData>
  <sheetProtection password="CFCB" sheet="1" objects="1" scenarios="1" formatCells="0" selectLockedCells="1"/>
  <mergeCells count="1">
    <mergeCell ref="C5:L5"/>
  </mergeCells>
  <hyperlinks>
    <hyperlink ref="C3" location="'Crit 1 &amp; 2'!A1" display="Click here to return to Table 1"/>
  </hyperlinks>
  <pageMargins left="0.75" right="0.75" top="1" bottom="1" header="0.5" footer="0.5"/>
  <pageSetup scale="93" orientation="landscape" r:id="rId1"/>
  <headerFooter alignWithMargins="0">
    <oddFooter>&amp;L&amp;F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T51"/>
  <sheetViews>
    <sheetView showGridLines="0" topLeftCell="A4" zoomScale="85" zoomScaleNormal="85" workbookViewId="0">
      <selection activeCell="E36" sqref="E36:L44"/>
    </sheetView>
  </sheetViews>
  <sheetFormatPr defaultColWidth="0" defaultRowHeight="12.75" zeroHeight="1" x14ac:dyDescent="0.2"/>
  <cols>
    <col min="1" max="1" width="3.42578125" style="118" customWidth="1"/>
    <col min="2" max="2" width="3.140625" style="118" customWidth="1"/>
    <col min="3" max="3" width="33.28515625" style="118" customWidth="1"/>
    <col min="4" max="4" width="2" style="118" customWidth="1"/>
    <col min="5" max="5" width="27.28515625" style="118" customWidth="1"/>
    <col min="6" max="11" width="10.28515625" style="118" customWidth="1"/>
    <col min="12" max="12" width="13" style="118" customWidth="1"/>
    <col min="13" max="13" width="2.5703125" style="118" customWidth="1"/>
    <col min="14" max="14" width="2.85546875" style="118" customWidth="1"/>
    <col min="15" max="20" width="0" style="118" hidden="1" customWidth="1"/>
    <col min="21" max="16384" width="8.85546875" style="118" hidden="1"/>
  </cols>
  <sheetData>
    <row r="1" spans="2:20" ht="13.5" thickBot="1" x14ac:dyDescent="0.25"/>
    <row r="2" spans="2:20" x14ac:dyDescent="0.2">
      <c r="B2" s="119"/>
      <c r="C2" s="120"/>
      <c r="D2" s="120"/>
      <c r="E2" s="120"/>
      <c r="F2" s="120"/>
      <c r="G2" s="120"/>
      <c r="H2" s="120"/>
      <c r="I2" s="120"/>
      <c r="J2" s="120"/>
      <c r="K2" s="120"/>
      <c r="L2" s="120"/>
      <c r="M2" s="121"/>
    </row>
    <row r="3" spans="2:20" ht="31.15" customHeight="1" x14ac:dyDescent="0.2">
      <c r="B3" s="122"/>
      <c r="C3" s="172" t="s">
        <v>499</v>
      </c>
      <c r="D3" s="172"/>
      <c r="E3" s="172"/>
      <c r="F3" s="185"/>
      <c r="G3" s="185"/>
      <c r="H3" s="185"/>
      <c r="I3" s="185"/>
      <c r="J3" s="185"/>
      <c r="K3" s="185"/>
      <c r="L3" s="185"/>
      <c r="M3" s="186"/>
    </row>
    <row r="4" spans="2:20" ht="12" customHeight="1" x14ac:dyDescent="0.2">
      <c r="B4" s="127"/>
      <c r="C4" s="185"/>
      <c r="D4" s="185"/>
      <c r="E4" s="185"/>
      <c r="F4" s="185"/>
      <c r="G4" s="185"/>
      <c r="H4" s="185"/>
      <c r="I4" s="185"/>
      <c r="J4" s="185"/>
      <c r="K4" s="185"/>
      <c r="L4" s="185"/>
      <c r="M4" s="192"/>
    </row>
    <row r="5" spans="2:20" ht="15.75" customHeight="1" x14ac:dyDescent="0.2">
      <c r="B5" s="122"/>
      <c r="C5" s="185" t="s">
        <v>220</v>
      </c>
      <c r="D5" s="185"/>
      <c r="E5" s="185"/>
      <c r="F5" s="185"/>
      <c r="G5" s="185"/>
      <c r="H5" s="185"/>
      <c r="I5" s="185"/>
      <c r="J5" s="185"/>
      <c r="K5" s="185"/>
      <c r="L5" s="185"/>
      <c r="M5" s="186"/>
    </row>
    <row r="6" spans="2:20" ht="9" customHeight="1" x14ac:dyDescent="0.2">
      <c r="B6" s="122"/>
      <c r="C6" s="185"/>
      <c r="D6" s="185"/>
      <c r="E6" s="185"/>
      <c r="F6" s="185"/>
      <c r="G6" s="185"/>
      <c r="H6" s="185"/>
      <c r="I6" s="185"/>
      <c r="J6" s="185"/>
      <c r="K6" s="185"/>
      <c r="L6" s="185"/>
      <c r="M6" s="186"/>
    </row>
    <row r="7" spans="2:20" ht="15" x14ac:dyDescent="0.25">
      <c r="B7" s="122"/>
      <c r="C7" s="16" t="s">
        <v>221</v>
      </c>
      <c r="D7" s="185"/>
      <c r="E7" s="185"/>
      <c r="F7" s="185"/>
      <c r="G7" s="185"/>
      <c r="H7" s="185"/>
      <c r="I7" s="185"/>
      <c r="J7" s="185"/>
      <c r="K7" s="185"/>
      <c r="L7" s="185"/>
      <c r="M7" s="186"/>
    </row>
    <row r="8" spans="2:20" ht="24" customHeight="1" x14ac:dyDescent="0.2">
      <c r="B8" s="122"/>
      <c r="C8" s="736" t="s">
        <v>206</v>
      </c>
      <c r="D8" s="736"/>
      <c r="E8" s="736"/>
      <c r="F8" s="736"/>
      <c r="G8" s="736"/>
      <c r="H8" s="736"/>
      <c r="I8" s="736"/>
      <c r="J8" s="736"/>
      <c r="K8" s="736"/>
      <c r="L8" s="736"/>
      <c r="M8" s="186"/>
    </row>
    <row r="9" spans="2:20" ht="19.5" customHeight="1" x14ac:dyDescent="0.2">
      <c r="B9" s="122"/>
      <c r="C9" s="737" t="s">
        <v>204</v>
      </c>
      <c r="D9" s="737"/>
      <c r="E9" s="737"/>
      <c r="F9" s="737"/>
      <c r="G9" s="737"/>
      <c r="H9" s="737"/>
      <c r="I9" s="737"/>
      <c r="J9" s="737"/>
      <c r="K9" s="737"/>
      <c r="L9" s="737"/>
      <c r="M9" s="186"/>
    </row>
    <row r="10" spans="2:20" ht="19.5" customHeight="1" x14ac:dyDescent="0.2">
      <c r="B10" s="122"/>
      <c r="C10" s="737" t="s">
        <v>205</v>
      </c>
      <c r="D10" s="737"/>
      <c r="E10" s="737"/>
      <c r="F10" s="737"/>
      <c r="G10" s="737"/>
      <c r="H10" s="737"/>
      <c r="I10" s="737"/>
      <c r="J10" s="737"/>
      <c r="K10" s="737"/>
      <c r="L10" s="737"/>
      <c r="M10" s="186"/>
    </row>
    <row r="11" spans="2:20" ht="63.75" customHeight="1" x14ac:dyDescent="0.2">
      <c r="B11" s="122"/>
      <c r="C11" s="735" t="s">
        <v>207</v>
      </c>
      <c r="D11" s="735"/>
      <c r="E11" s="735"/>
      <c r="F11" s="735"/>
      <c r="G11" s="735"/>
      <c r="H11" s="735"/>
      <c r="I11" s="735"/>
      <c r="J11" s="735"/>
      <c r="K11" s="735"/>
      <c r="L11" s="735"/>
      <c r="M11" s="186"/>
    </row>
    <row r="12" spans="2:20" ht="44.25" customHeight="1" x14ac:dyDescent="0.2">
      <c r="B12" s="122"/>
      <c r="C12" s="735" t="s">
        <v>203</v>
      </c>
      <c r="D12" s="735"/>
      <c r="E12" s="735"/>
      <c r="F12" s="735"/>
      <c r="G12" s="735"/>
      <c r="H12" s="735"/>
      <c r="I12" s="735"/>
      <c r="J12" s="735"/>
      <c r="K12" s="735"/>
      <c r="L12" s="735"/>
      <c r="M12" s="186"/>
    </row>
    <row r="13" spans="2:20" ht="12.6" customHeight="1" x14ac:dyDescent="0.2">
      <c r="B13" s="122"/>
      <c r="C13" s="31"/>
      <c r="D13" s="31"/>
      <c r="E13" s="31"/>
      <c r="F13" s="31"/>
      <c r="G13" s="31"/>
      <c r="H13" s="31"/>
      <c r="I13" s="31"/>
      <c r="J13" s="31"/>
      <c r="K13" s="31"/>
      <c r="L13" s="31"/>
      <c r="M13" s="124"/>
    </row>
    <row r="14" spans="2:20" ht="18" customHeight="1" thickBot="1" x14ac:dyDescent="0.3">
      <c r="B14" s="122"/>
      <c r="C14" s="16" t="s">
        <v>222</v>
      </c>
      <c r="D14" s="16"/>
      <c r="E14" s="31"/>
      <c r="F14" s="31"/>
      <c r="G14" s="31"/>
      <c r="H14" s="31"/>
      <c r="I14" s="31"/>
      <c r="J14" s="31"/>
      <c r="K14" s="31"/>
      <c r="L14" s="31"/>
      <c r="M14" s="124"/>
    </row>
    <row r="15" spans="2:20" ht="106.5" customHeight="1" thickBot="1" x14ac:dyDescent="0.25">
      <c r="B15" s="122"/>
      <c r="C15" s="32" t="s">
        <v>208</v>
      </c>
      <c r="D15" s="193"/>
      <c r="E15" s="739" t="s">
        <v>483</v>
      </c>
      <c r="F15" s="739"/>
      <c r="G15" s="739"/>
      <c r="H15" s="739"/>
      <c r="I15" s="739"/>
      <c r="J15" s="739"/>
      <c r="K15" s="739"/>
      <c r="L15" s="269" t="s">
        <v>707</v>
      </c>
      <c r="M15" s="124"/>
      <c r="N15" s="194"/>
      <c r="O15" s="194"/>
      <c r="P15" s="194"/>
      <c r="Q15" s="194"/>
      <c r="R15" s="194"/>
      <c r="S15" s="194"/>
      <c r="T15" s="194"/>
    </row>
    <row r="16" spans="2:20" ht="9" customHeight="1" x14ac:dyDescent="0.2">
      <c r="B16" s="122"/>
      <c r="C16" s="31"/>
      <c r="D16" s="31"/>
      <c r="E16" s="18"/>
      <c r="F16" s="18"/>
      <c r="G16" s="18"/>
      <c r="H16" s="18"/>
      <c r="I16" s="18"/>
      <c r="J16" s="18"/>
      <c r="K16" s="18"/>
      <c r="L16" s="18"/>
      <c r="M16" s="124"/>
    </row>
    <row r="17" spans="2:13" ht="17.45" customHeight="1" thickBot="1" x14ac:dyDescent="0.3">
      <c r="B17" s="122"/>
      <c r="C17" s="17" t="s">
        <v>223</v>
      </c>
      <c r="D17" s="16"/>
      <c r="E17" s="33"/>
      <c r="F17" s="33"/>
      <c r="G17" s="33"/>
      <c r="H17" s="33"/>
      <c r="I17" s="33"/>
      <c r="J17" s="33"/>
      <c r="K17" s="33"/>
      <c r="L17" s="33"/>
      <c r="M17" s="124"/>
    </row>
    <row r="18" spans="2:13" ht="94.15" customHeight="1" thickBot="1" x14ac:dyDescent="0.25">
      <c r="B18" s="122"/>
      <c r="C18" s="271" t="s">
        <v>503</v>
      </c>
      <c r="D18" s="31"/>
      <c r="E18" s="738" t="s">
        <v>484</v>
      </c>
      <c r="F18" s="738"/>
      <c r="G18" s="738"/>
      <c r="H18" s="738"/>
      <c r="I18" s="738"/>
      <c r="J18" s="738"/>
      <c r="K18" s="738"/>
      <c r="L18" s="269" t="s">
        <v>708</v>
      </c>
      <c r="M18" s="195"/>
    </row>
    <row r="19" spans="2:13" ht="13.9" customHeight="1" x14ac:dyDescent="0.2">
      <c r="B19" s="122"/>
      <c r="C19" s="31"/>
      <c r="D19" s="31"/>
      <c r="E19" s="34"/>
      <c r="F19" s="35"/>
      <c r="G19" s="35"/>
      <c r="H19" s="35"/>
      <c r="I19" s="35"/>
      <c r="J19" s="35"/>
      <c r="K19" s="35"/>
      <c r="L19" s="35"/>
      <c r="M19" s="196"/>
    </row>
    <row r="20" spans="2:13" ht="16.149999999999999" customHeight="1" thickBot="1" x14ac:dyDescent="0.3">
      <c r="B20" s="122"/>
      <c r="C20" s="16" t="s">
        <v>224</v>
      </c>
      <c r="D20" s="31"/>
      <c r="E20" s="31"/>
      <c r="F20" s="31"/>
      <c r="G20" s="31"/>
      <c r="H20" s="31"/>
      <c r="I20" s="31"/>
      <c r="J20" s="31"/>
      <c r="K20" s="31"/>
      <c r="L20" s="31"/>
      <c r="M20" s="124"/>
    </row>
    <row r="21" spans="2:13" ht="92.45" customHeight="1" thickBot="1" x14ac:dyDescent="0.25">
      <c r="B21" s="122"/>
      <c r="C21" s="452" t="s">
        <v>502</v>
      </c>
      <c r="D21" s="31"/>
      <c r="E21" s="702" t="s">
        <v>199</v>
      </c>
      <c r="F21" s="702"/>
      <c r="G21" s="702"/>
      <c r="H21" s="702"/>
      <c r="I21" s="702"/>
      <c r="J21" s="702"/>
      <c r="K21" s="702"/>
      <c r="L21" s="269" t="s">
        <v>267</v>
      </c>
      <c r="M21" s="124"/>
    </row>
    <row r="22" spans="2:13" x14ac:dyDescent="0.2">
      <c r="B22" s="122"/>
      <c r="C22" s="31"/>
      <c r="D22" s="31"/>
      <c r="E22" s="31"/>
      <c r="F22" s="31"/>
      <c r="G22" s="31"/>
      <c r="H22" s="31"/>
      <c r="I22" s="31"/>
      <c r="J22" s="31"/>
      <c r="K22" s="31"/>
      <c r="L22" s="31"/>
      <c r="M22" s="124"/>
    </row>
    <row r="23" spans="2:13" ht="17.45" customHeight="1" x14ac:dyDescent="0.25">
      <c r="B23" s="122"/>
      <c r="C23" s="16" t="s">
        <v>225</v>
      </c>
      <c r="D23" s="31"/>
      <c r="E23" s="197"/>
      <c r="F23" s="197"/>
      <c r="G23" s="197"/>
      <c r="H23" s="197"/>
      <c r="I23" s="197"/>
      <c r="J23" s="197"/>
      <c r="K23" s="197"/>
      <c r="L23" s="197"/>
      <c r="M23" s="124"/>
    </row>
    <row r="24" spans="2:13" ht="13.9" customHeight="1" x14ac:dyDescent="0.25">
      <c r="B24" s="122"/>
      <c r="C24" s="736" t="s">
        <v>197</v>
      </c>
      <c r="D24" s="16"/>
      <c r="E24" s="740" t="s">
        <v>186</v>
      </c>
      <c r="F24" s="740"/>
      <c r="G24" s="740"/>
      <c r="H24" s="740"/>
      <c r="I24" s="740"/>
      <c r="J24" s="740"/>
      <c r="K24" s="740"/>
      <c r="L24" s="740"/>
      <c r="M24" s="124"/>
    </row>
    <row r="25" spans="2:13" x14ac:dyDescent="0.2">
      <c r="B25" s="122"/>
      <c r="C25" s="741"/>
      <c r="D25" s="31"/>
      <c r="E25" s="740"/>
      <c r="F25" s="740"/>
      <c r="G25" s="740"/>
      <c r="H25" s="740"/>
      <c r="I25" s="740"/>
      <c r="J25" s="740"/>
      <c r="K25" s="740"/>
      <c r="L25" s="740"/>
      <c r="M25" s="124"/>
    </row>
    <row r="26" spans="2:13" x14ac:dyDescent="0.2">
      <c r="B26" s="122"/>
      <c r="C26" s="741"/>
      <c r="D26" s="31"/>
      <c r="E26" s="740"/>
      <c r="F26" s="740"/>
      <c r="G26" s="740"/>
      <c r="H26" s="740"/>
      <c r="I26" s="740"/>
      <c r="J26" s="740"/>
      <c r="K26" s="740"/>
      <c r="L26" s="740"/>
      <c r="M26" s="124"/>
    </row>
    <row r="27" spans="2:13" x14ac:dyDescent="0.2">
      <c r="B27" s="122"/>
      <c r="C27" s="741"/>
      <c r="D27" s="31"/>
      <c r="E27" s="740"/>
      <c r="F27" s="740"/>
      <c r="G27" s="740"/>
      <c r="H27" s="740"/>
      <c r="I27" s="740"/>
      <c r="J27" s="740"/>
      <c r="K27" s="740"/>
      <c r="L27" s="740"/>
      <c r="M27" s="124"/>
    </row>
    <row r="28" spans="2:13" ht="13.5" thickBot="1" x14ac:dyDescent="0.25">
      <c r="B28" s="122"/>
      <c r="C28" s="741"/>
      <c r="D28" s="31"/>
      <c r="E28" s="31"/>
      <c r="F28" s="31"/>
      <c r="G28" s="31"/>
      <c r="H28" s="31"/>
      <c r="I28" s="31"/>
      <c r="J28" s="31"/>
      <c r="K28" s="31"/>
      <c r="L28" s="31"/>
      <c r="M28" s="124"/>
    </row>
    <row r="29" spans="2:13" x14ac:dyDescent="0.2">
      <c r="B29" s="122"/>
      <c r="C29" s="741"/>
      <c r="D29" s="31"/>
      <c r="E29" s="725" t="s">
        <v>866</v>
      </c>
      <c r="F29" s="726"/>
      <c r="G29" s="726"/>
      <c r="H29" s="726"/>
      <c r="I29" s="726"/>
      <c r="J29" s="726"/>
      <c r="K29" s="726"/>
      <c r="L29" s="727"/>
      <c r="M29" s="124"/>
    </row>
    <row r="30" spans="2:13" x14ac:dyDescent="0.2">
      <c r="B30" s="122"/>
      <c r="C30" s="741"/>
      <c r="D30" s="31"/>
      <c r="E30" s="728"/>
      <c r="F30" s="729"/>
      <c r="G30" s="729"/>
      <c r="H30" s="729"/>
      <c r="I30" s="729"/>
      <c r="J30" s="729"/>
      <c r="K30" s="729"/>
      <c r="L30" s="730"/>
      <c r="M30" s="124"/>
    </row>
    <row r="31" spans="2:13" x14ac:dyDescent="0.2">
      <c r="B31" s="122"/>
      <c r="C31" s="741"/>
      <c r="D31" s="31"/>
      <c r="E31" s="728"/>
      <c r="F31" s="729"/>
      <c r="G31" s="729"/>
      <c r="H31" s="729"/>
      <c r="I31" s="729"/>
      <c r="J31" s="729"/>
      <c r="K31" s="729"/>
      <c r="L31" s="730"/>
      <c r="M31" s="124"/>
    </row>
    <row r="32" spans="2:13" x14ac:dyDescent="0.2">
      <c r="B32" s="122"/>
      <c r="C32" s="198"/>
      <c r="D32" s="31"/>
      <c r="E32" s="728"/>
      <c r="F32" s="729"/>
      <c r="G32" s="729"/>
      <c r="H32" s="729"/>
      <c r="I32" s="729"/>
      <c r="J32" s="729"/>
      <c r="K32" s="729"/>
      <c r="L32" s="730"/>
      <c r="M32" s="124"/>
    </row>
    <row r="33" spans="2:13" ht="90.75" customHeight="1" thickBot="1" x14ac:dyDescent="0.25">
      <c r="B33" s="122"/>
      <c r="C33" s="198"/>
      <c r="D33" s="31"/>
      <c r="E33" s="731"/>
      <c r="F33" s="732"/>
      <c r="G33" s="732"/>
      <c r="H33" s="732"/>
      <c r="I33" s="732"/>
      <c r="J33" s="732"/>
      <c r="K33" s="732"/>
      <c r="L33" s="733"/>
      <c r="M33" s="124"/>
    </row>
    <row r="34" spans="2:13" x14ac:dyDescent="0.2">
      <c r="B34" s="122"/>
      <c r="C34" s="31"/>
      <c r="D34" s="31"/>
      <c r="E34" s="444"/>
      <c r="F34" s="31"/>
      <c r="G34" s="31"/>
      <c r="H34" s="31"/>
      <c r="I34" s="31"/>
      <c r="J34" s="31"/>
      <c r="K34" s="31"/>
      <c r="L34" s="31"/>
      <c r="M34" s="124"/>
    </row>
    <row r="35" spans="2:13" ht="15.75" thickBot="1" x14ac:dyDescent="0.3">
      <c r="B35" s="122"/>
      <c r="C35" s="16" t="s">
        <v>226</v>
      </c>
      <c r="D35" s="31"/>
      <c r="E35" s="31"/>
      <c r="F35" s="31"/>
      <c r="G35" s="31"/>
      <c r="H35" s="31"/>
      <c r="I35" s="31"/>
      <c r="J35" s="31"/>
      <c r="K35" s="31"/>
      <c r="L35" s="31"/>
      <c r="M35" s="124"/>
    </row>
    <row r="36" spans="2:13" ht="13.15" customHeight="1" x14ac:dyDescent="0.2">
      <c r="B36" s="122"/>
      <c r="C36" s="734" t="s">
        <v>485</v>
      </c>
      <c r="D36" s="31"/>
      <c r="E36" s="725" t="s">
        <v>837</v>
      </c>
      <c r="F36" s="726"/>
      <c r="G36" s="726"/>
      <c r="H36" s="726"/>
      <c r="I36" s="726"/>
      <c r="J36" s="726"/>
      <c r="K36" s="726"/>
      <c r="L36" s="727"/>
      <c r="M36" s="124"/>
    </row>
    <row r="37" spans="2:13" x14ac:dyDescent="0.2">
      <c r="B37" s="122"/>
      <c r="C37" s="734"/>
      <c r="D37" s="31"/>
      <c r="E37" s="728"/>
      <c r="F37" s="729"/>
      <c r="G37" s="729"/>
      <c r="H37" s="729"/>
      <c r="I37" s="729"/>
      <c r="J37" s="729"/>
      <c r="K37" s="729"/>
      <c r="L37" s="730"/>
      <c r="M37" s="124"/>
    </row>
    <row r="38" spans="2:13" x14ac:dyDescent="0.2">
      <c r="B38" s="122"/>
      <c r="C38" s="734"/>
      <c r="D38" s="31"/>
      <c r="E38" s="728"/>
      <c r="F38" s="729"/>
      <c r="G38" s="729"/>
      <c r="H38" s="729"/>
      <c r="I38" s="729"/>
      <c r="J38" s="729"/>
      <c r="K38" s="729"/>
      <c r="L38" s="730"/>
      <c r="M38" s="124"/>
    </row>
    <row r="39" spans="2:13" x14ac:dyDescent="0.2">
      <c r="B39" s="122"/>
      <c r="C39" s="734"/>
      <c r="D39" s="31"/>
      <c r="E39" s="728"/>
      <c r="F39" s="729"/>
      <c r="G39" s="729"/>
      <c r="H39" s="729"/>
      <c r="I39" s="729"/>
      <c r="J39" s="729"/>
      <c r="K39" s="729"/>
      <c r="L39" s="730"/>
      <c r="M39" s="124"/>
    </row>
    <row r="40" spans="2:13" x14ac:dyDescent="0.2">
      <c r="B40" s="122"/>
      <c r="C40" s="734"/>
      <c r="D40" s="31"/>
      <c r="E40" s="728"/>
      <c r="F40" s="729"/>
      <c r="G40" s="729"/>
      <c r="H40" s="729"/>
      <c r="I40" s="729"/>
      <c r="J40" s="729"/>
      <c r="K40" s="729"/>
      <c r="L40" s="730"/>
      <c r="M40" s="124"/>
    </row>
    <row r="41" spans="2:13" x14ac:dyDescent="0.2">
      <c r="B41" s="122"/>
      <c r="C41" s="734"/>
      <c r="D41" s="31"/>
      <c r="E41" s="728"/>
      <c r="F41" s="729"/>
      <c r="G41" s="729"/>
      <c r="H41" s="729"/>
      <c r="I41" s="729"/>
      <c r="J41" s="729"/>
      <c r="K41" s="729"/>
      <c r="L41" s="730"/>
      <c r="M41" s="124"/>
    </row>
    <row r="42" spans="2:13" x14ac:dyDescent="0.2">
      <c r="B42" s="122"/>
      <c r="C42" s="734"/>
      <c r="D42" s="31"/>
      <c r="E42" s="728"/>
      <c r="F42" s="729"/>
      <c r="G42" s="729"/>
      <c r="H42" s="729"/>
      <c r="I42" s="729"/>
      <c r="J42" s="729"/>
      <c r="K42" s="729"/>
      <c r="L42" s="730"/>
      <c r="M42" s="124"/>
    </row>
    <row r="43" spans="2:13" x14ac:dyDescent="0.2">
      <c r="B43" s="122"/>
      <c r="C43" s="734"/>
      <c r="D43" s="31"/>
      <c r="E43" s="728"/>
      <c r="F43" s="729"/>
      <c r="G43" s="729"/>
      <c r="H43" s="729"/>
      <c r="I43" s="729"/>
      <c r="J43" s="729"/>
      <c r="K43" s="729"/>
      <c r="L43" s="730"/>
      <c r="M43" s="124"/>
    </row>
    <row r="44" spans="2:13" ht="43.5" customHeight="1" thickBot="1" x14ac:dyDescent="0.25">
      <c r="B44" s="122"/>
      <c r="C44" s="734"/>
      <c r="D44" s="31"/>
      <c r="E44" s="731"/>
      <c r="F44" s="732"/>
      <c r="G44" s="732"/>
      <c r="H44" s="732"/>
      <c r="I44" s="732"/>
      <c r="J44" s="732"/>
      <c r="K44" s="732"/>
      <c r="L44" s="733"/>
      <c r="M44" s="124"/>
    </row>
    <row r="45" spans="2:13" ht="9.75" customHeight="1" thickBot="1" x14ac:dyDescent="0.25">
      <c r="B45" s="133"/>
      <c r="C45" s="270"/>
      <c r="D45" s="184"/>
      <c r="E45" s="184"/>
      <c r="F45" s="184"/>
      <c r="G45" s="184"/>
      <c r="H45" s="184"/>
      <c r="I45" s="184"/>
      <c r="J45" s="184"/>
      <c r="K45" s="184"/>
      <c r="L45" s="184"/>
      <c r="M45" s="135"/>
    </row>
    <row r="46" spans="2:13" x14ac:dyDescent="0.2"/>
    <row r="47" spans="2:13" hidden="1" x14ac:dyDescent="0.2"/>
    <row r="48" spans="2:13" hidden="1" x14ac:dyDescent="0.2"/>
    <row r="49" spans="11:11" hidden="1" x14ac:dyDescent="0.2"/>
    <row r="50" spans="11:11" hidden="1" x14ac:dyDescent="0.2"/>
    <row r="51" spans="11:11" hidden="1" x14ac:dyDescent="0.2">
      <c r="K51" s="191"/>
    </row>
  </sheetData>
  <sheetProtection selectLockedCells="1"/>
  <mergeCells count="13">
    <mergeCell ref="E36:L44"/>
    <mergeCell ref="C36:C44"/>
    <mergeCell ref="C11:L11"/>
    <mergeCell ref="C12:L12"/>
    <mergeCell ref="C8:L8"/>
    <mergeCell ref="C9:L9"/>
    <mergeCell ref="C10:L10"/>
    <mergeCell ref="E18:K18"/>
    <mergeCell ref="E15:K15"/>
    <mergeCell ref="E24:L27"/>
    <mergeCell ref="E29:L33"/>
    <mergeCell ref="C24:C31"/>
    <mergeCell ref="E21:K21"/>
  </mergeCells>
  <phoneticPr fontId="16" type="noConversion"/>
  <dataValidations count="1">
    <dataValidation type="list" allowBlank="1" showInputMessage="1" showErrorMessage="1" sqref="L21">
      <formula1>ListYN</formula1>
    </dataValidation>
  </dataValidations>
  <hyperlinks>
    <hyperlink ref="C36:C44" r:id="rId1" display="Please describe any building stock changes that have occurred since your GC baseline year. Include the year any whether any changes are a replacement, addition, removal or renovation. Include any changes in square footage for additions. Link to Appendix A"/>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0"/>
  <sheetViews>
    <sheetView showGridLines="0" topLeftCell="B1" zoomScaleNormal="100" workbookViewId="0">
      <selection activeCell="J13" sqref="J13"/>
    </sheetView>
  </sheetViews>
  <sheetFormatPr defaultColWidth="0" defaultRowHeight="13.15" customHeight="1" zeroHeight="1" x14ac:dyDescent="0.2"/>
  <cols>
    <col min="1" max="1" width="2.42578125" style="118" customWidth="1"/>
    <col min="2" max="2" width="3.85546875" style="118" customWidth="1"/>
    <col min="3" max="3" width="27.28515625" style="118" customWidth="1"/>
    <col min="4" max="9" width="13.140625" style="118" bestFit="1" customWidth="1"/>
    <col min="10" max="11" width="13.140625" style="118" customWidth="1"/>
    <col min="12" max="12" width="13" style="118" customWidth="1"/>
    <col min="13" max="13" width="2.5703125" style="118" customWidth="1"/>
    <col min="14" max="14" width="3.5703125" style="118" customWidth="1"/>
    <col min="15" max="16384" width="8.85546875" style="118" hidden="1"/>
  </cols>
  <sheetData>
    <row r="1" spans="2:13" ht="13.5" thickBot="1" x14ac:dyDescent="0.25"/>
    <row r="2" spans="2:13" ht="12.75" x14ac:dyDescent="0.2">
      <c r="B2" s="119"/>
      <c r="C2" s="120"/>
      <c r="D2" s="120"/>
      <c r="E2" s="120"/>
      <c r="F2" s="120"/>
      <c r="G2" s="120"/>
      <c r="H2" s="120"/>
      <c r="I2" s="120"/>
      <c r="J2" s="120"/>
      <c r="K2" s="120"/>
      <c r="L2" s="120"/>
      <c r="M2" s="121"/>
    </row>
    <row r="3" spans="2:13" ht="31.15" customHeight="1" x14ac:dyDescent="0.2">
      <c r="B3" s="122"/>
      <c r="C3" s="172" t="s">
        <v>227</v>
      </c>
      <c r="D3" s="172"/>
      <c r="E3" s="172"/>
      <c r="F3" s="185"/>
      <c r="G3" s="185"/>
      <c r="H3" s="185"/>
      <c r="I3" s="185"/>
      <c r="J3" s="185"/>
      <c r="K3" s="185"/>
      <c r="L3" s="185"/>
      <c r="M3" s="186"/>
    </row>
    <row r="4" spans="2:13" ht="13.5" thickBot="1" x14ac:dyDescent="0.25">
      <c r="B4" s="122"/>
      <c r="C4" s="31"/>
      <c r="D4" s="31"/>
      <c r="E4" s="31"/>
      <c r="F4" s="31"/>
      <c r="G4" s="31"/>
      <c r="H4" s="31"/>
      <c r="I4" s="31"/>
      <c r="J4" s="31"/>
      <c r="K4" s="31"/>
      <c r="L4" s="31"/>
      <c r="M4" s="124"/>
    </row>
    <row r="5" spans="2:13" s="137" customFormat="1" ht="20.45" customHeight="1" thickBot="1" x14ac:dyDescent="0.3">
      <c r="B5" s="168"/>
      <c r="C5" s="742" t="s">
        <v>195</v>
      </c>
      <c r="D5" s="743"/>
      <c r="E5" s="743"/>
      <c r="F5" s="743"/>
      <c r="G5" s="743"/>
      <c r="H5" s="743"/>
      <c r="I5" s="743"/>
      <c r="J5" s="743"/>
      <c r="K5" s="743"/>
      <c r="L5" s="744"/>
      <c r="M5" s="169"/>
    </row>
    <row r="6" spans="2:13" s="189" customFormat="1" ht="51" customHeight="1" x14ac:dyDescent="0.2">
      <c r="B6" s="187"/>
      <c r="C6" s="13"/>
      <c r="D6" s="276" t="s">
        <v>103</v>
      </c>
      <c r="E6" s="14" t="s">
        <v>104</v>
      </c>
      <c r="F6" s="14" t="s">
        <v>105</v>
      </c>
      <c r="G6" s="14" t="s">
        <v>106</v>
      </c>
      <c r="H6" s="14" t="s">
        <v>107</v>
      </c>
      <c r="I6" s="14" t="s">
        <v>108</v>
      </c>
      <c r="J6" s="14" t="s">
        <v>492</v>
      </c>
      <c r="K6" s="14" t="s">
        <v>493</v>
      </c>
      <c r="L6" s="275" t="s">
        <v>154</v>
      </c>
      <c r="M6" s="188"/>
    </row>
    <row r="7" spans="2:13" ht="19.899999999999999" customHeight="1" x14ac:dyDescent="0.2">
      <c r="B7" s="122"/>
      <c r="C7" s="190" t="s">
        <v>169</v>
      </c>
      <c r="D7" s="466" t="s">
        <v>508</v>
      </c>
      <c r="E7" s="466" t="s">
        <v>509</v>
      </c>
      <c r="F7" s="466" t="s">
        <v>510</v>
      </c>
      <c r="G7" s="466" t="s">
        <v>514</v>
      </c>
      <c r="H7" s="466" t="s">
        <v>511</v>
      </c>
      <c r="I7" s="466" t="s">
        <v>512</v>
      </c>
      <c r="J7" s="466" t="s">
        <v>513</v>
      </c>
      <c r="K7" s="440"/>
      <c r="L7" s="15"/>
      <c r="M7" s="124"/>
    </row>
    <row r="8" spans="2:13" ht="19.899999999999999" customHeight="1" x14ac:dyDescent="0.2">
      <c r="B8" s="122"/>
      <c r="C8" s="190" t="s">
        <v>109</v>
      </c>
      <c r="D8" s="490">
        <v>20521</v>
      </c>
      <c r="E8" s="490">
        <v>16769</v>
      </c>
      <c r="F8" s="490">
        <v>18088</v>
      </c>
      <c r="G8" s="490">
        <v>15113</v>
      </c>
      <c r="H8" s="490">
        <v>19143</v>
      </c>
      <c r="I8" s="274">
        <v>19289</v>
      </c>
      <c r="J8" s="445"/>
      <c r="K8" s="445"/>
      <c r="L8" s="10">
        <f>IF(K8&lt;&gt;"",K8,(IF(J8&lt;&gt;"",J8,(IF(I8&lt;&gt;"",I8,(IF(H8&lt;&gt;"",H8,(IF(G8&lt;&gt;"",G8,(IF(F8&lt;&gt;"",F8,E8)))))))))))/D8</f>
        <v>0.93996393937917255</v>
      </c>
      <c r="M8" s="124"/>
    </row>
    <row r="9" spans="2:13" ht="19.899999999999999" customHeight="1" x14ac:dyDescent="0.2">
      <c r="B9" s="122"/>
      <c r="C9" s="190" t="s">
        <v>110</v>
      </c>
      <c r="D9" s="490">
        <v>419</v>
      </c>
      <c r="E9" s="490">
        <v>655</v>
      </c>
      <c r="F9" s="490">
        <v>500</v>
      </c>
      <c r="G9" s="490">
        <v>635</v>
      </c>
      <c r="H9" s="490">
        <v>710</v>
      </c>
      <c r="I9" s="274">
        <v>579</v>
      </c>
      <c r="J9" s="445"/>
      <c r="K9" s="445"/>
      <c r="L9" s="10">
        <f t="shared" ref="L9:L12" si="0">IF(K9&lt;&gt;"",K9,(IF(J9&lt;&gt;"",J9,(IF(I9&lt;&gt;"",I9,(IF(H9&lt;&gt;"",H9,(IF(G9&lt;&gt;"",G9,(IF(F9&lt;&gt;"",F9,E9)))))))))))/D9</f>
        <v>1.3818615751789975</v>
      </c>
      <c r="M9" s="124"/>
    </row>
    <row r="10" spans="2:13" ht="19.899999999999999" customHeight="1" x14ac:dyDescent="0.2">
      <c r="B10" s="122"/>
      <c r="C10" s="190" t="s">
        <v>111</v>
      </c>
      <c r="D10" s="490">
        <v>2</v>
      </c>
      <c r="E10" s="490">
        <v>2</v>
      </c>
      <c r="F10" s="490">
        <v>2</v>
      </c>
      <c r="G10" s="490">
        <v>1</v>
      </c>
      <c r="H10" s="490">
        <v>2</v>
      </c>
      <c r="I10" s="274">
        <v>5</v>
      </c>
      <c r="J10" s="445"/>
      <c r="K10" s="445"/>
      <c r="L10" s="10">
        <f t="shared" si="0"/>
        <v>2.5</v>
      </c>
      <c r="M10" s="124"/>
    </row>
    <row r="11" spans="2:13" ht="19.899999999999999" customHeight="1" x14ac:dyDescent="0.2">
      <c r="B11" s="122"/>
      <c r="C11" s="190" t="s">
        <v>42</v>
      </c>
      <c r="D11" s="490">
        <v>3706</v>
      </c>
      <c r="E11" s="490">
        <v>2676</v>
      </c>
      <c r="F11" s="490">
        <v>3914</v>
      </c>
      <c r="G11" s="490">
        <v>2596</v>
      </c>
      <c r="H11" s="490">
        <v>3481</v>
      </c>
      <c r="I11" s="274">
        <v>3278</v>
      </c>
      <c r="J11" s="445"/>
      <c r="K11" s="445"/>
      <c r="L11" s="10">
        <f t="shared" si="0"/>
        <v>0.88451160280626007</v>
      </c>
      <c r="M11" s="124"/>
    </row>
    <row r="12" spans="2:13" ht="19.899999999999999" customHeight="1" x14ac:dyDescent="0.2">
      <c r="B12" s="122"/>
      <c r="C12" s="190" t="s">
        <v>112</v>
      </c>
      <c r="D12" s="490">
        <v>91</v>
      </c>
      <c r="E12" s="490">
        <v>91</v>
      </c>
      <c r="F12" s="490">
        <v>89</v>
      </c>
      <c r="G12" s="490">
        <v>89</v>
      </c>
      <c r="H12" s="490">
        <v>89</v>
      </c>
      <c r="I12" s="274">
        <v>90</v>
      </c>
      <c r="J12" s="445"/>
      <c r="K12" s="445"/>
      <c r="L12" s="10">
        <f t="shared" si="0"/>
        <v>0.98901098901098905</v>
      </c>
      <c r="M12" s="124"/>
    </row>
    <row r="13" spans="2:13" ht="52.9" customHeight="1" thickBot="1" x14ac:dyDescent="0.25">
      <c r="B13" s="122"/>
      <c r="C13" s="272" t="s">
        <v>65</v>
      </c>
      <c r="D13" s="273">
        <f>SUM(D8:D12)</f>
        <v>24739</v>
      </c>
      <c r="E13" s="273">
        <f t="shared" ref="E13:I13" si="1">SUM(E8:E12)</f>
        <v>20193</v>
      </c>
      <c r="F13" s="273">
        <f t="shared" si="1"/>
        <v>22593</v>
      </c>
      <c r="G13" s="273">
        <f t="shared" si="1"/>
        <v>18434</v>
      </c>
      <c r="H13" s="273">
        <f t="shared" si="1"/>
        <v>23425</v>
      </c>
      <c r="I13" s="273">
        <f t="shared" si="1"/>
        <v>23241</v>
      </c>
      <c r="J13" s="273"/>
      <c r="K13" s="446"/>
      <c r="L13" s="10">
        <f>1-(IF(K13&lt;&gt;0,K13,(IF(J13&lt;&gt;0,J13,(IF(I13&lt;&gt;0,I13,(IF(H13&lt;&gt;0,H13,(IF(G13&lt;&gt;0,G13,(IF(F13&lt;&gt;0,F13,E13))))))))))/D13))</f>
        <v>6.0552164598407399E-2</v>
      </c>
      <c r="M13" s="124"/>
    </row>
    <row r="14" spans="2:13" ht="12.6" customHeight="1" thickBot="1" x14ac:dyDescent="0.25">
      <c r="B14" s="133"/>
      <c r="C14" s="184"/>
      <c r="D14" s="184"/>
      <c r="E14" s="184"/>
      <c r="F14" s="184"/>
      <c r="G14" s="184"/>
      <c r="H14" s="184"/>
      <c r="I14" s="184"/>
      <c r="J14" s="184"/>
      <c r="K14" s="184"/>
      <c r="L14" s="184"/>
      <c r="M14" s="135"/>
    </row>
    <row r="15" spans="2:13" ht="12.75" x14ac:dyDescent="0.2"/>
    <row r="16" spans="2:13" ht="12.75" hidden="1" x14ac:dyDescent="0.2"/>
    <row r="17" spans="9:11" ht="12.75" hidden="1" x14ac:dyDescent="0.2"/>
    <row r="18" spans="9:11" ht="12.75" hidden="1" x14ac:dyDescent="0.2"/>
    <row r="19" spans="9:11" ht="12.75" hidden="1" x14ac:dyDescent="0.2"/>
    <row r="20" spans="9:11" ht="12.75" hidden="1" x14ac:dyDescent="0.2">
      <c r="I20" s="191"/>
      <c r="J20" s="191"/>
      <c r="K20" s="191"/>
    </row>
  </sheetData>
  <sheetProtection selectLockedCells="1"/>
  <mergeCells count="1">
    <mergeCell ref="C5:L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000"/>
    <pageSetUpPr fitToPage="1"/>
  </sheetPr>
  <dimension ref="A1:AF57"/>
  <sheetViews>
    <sheetView showGridLines="0" zoomScale="90" zoomScaleNormal="90" workbookViewId="0">
      <selection activeCell="G4" sqref="G4"/>
    </sheetView>
  </sheetViews>
  <sheetFormatPr defaultColWidth="0" defaultRowHeight="12.75" zeroHeight="1" x14ac:dyDescent="0.2"/>
  <cols>
    <col min="1" max="1" width="3.28515625" style="118" customWidth="1"/>
    <col min="2" max="2" width="9.140625" style="118" customWidth="1"/>
    <col min="3" max="3" width="30.85546875" style="170" customWidth="1"/>
    <col min="4" max="4" width="14.85546875" style="118" customWidth="1"/>
    <col min="5" max="8" width="9.140625" style="118" customWidth="1"/>
    <col min="9" max="9" width="10.140625" style="118" customWidth="1"/>
    <col min="10" max="10" width="9.28515625" style="118" bestFit="1" customWidth="1"/>
    <col min="11" max="11" width="7.7109375" style="118" bestFit="1" customWidth="1"/>
    <col min="12" max="17" width="9.140625" style="118" customWidth="1"/>
    <col min="18" max="19" width="10" style="118" customWidth="1"/>
    <col min="20" max="20" width="12.28515625" style="118" customWidth="1"/>
    <col min="21" max="21" width="9.140625" style="118" customWidth="1"/>
    <col min="22" max="22" width="9.140625" style="118" bestFit="1" customWidth="1"/>
    <col min="23" max="32" width="9.140625" style="118" customWidth="1"/>
    <col min="33" max="16384" width="9.140625" style="118" hidden="1"/>
  </cols>
  <sheetData>
    <row r="1" spans="2:24" ht="13.5" thickBot="1" x14ac:dyDescent="0.25"/>
    <row r="2" spans="2:24" x14ac:dyDescent="0.2">
      <c r="B2" s="119"/>
      <c r="C2" s="171"/>
      <c r="D2" s="120"/>
      <c r="E2" s="120"/>
      <c r="F2" s="120"/>
      <c r="G2" s="120"/>
      <c r="H2" s="120"/>
      <c r="I2" s="120"/>
      <c r="J2" s="120"/>
      <c r="K2" s="120"/>
      <c r="L2" s="120"/>
      <c r="M2" s="120"/>
      <c r="N2" s="120"/>
      <c r="O2" s="120"/>
      <c r="P2" s="120"/>
      <c r="Q2" s="120"/>
      <c r="R2" s="120"/>
      <c r="S2" s="120"/>
      <c r="T2" s="120"/>
      <c r="U2" s="121"/>
    </row>
    <row r="3" spans="2:24" ht="37.5" customHeight="1" x14ac:dyDescent="0.2">
      <c r="B3" s="122"/>
      <c r="C3" s="745" t="s">
        <v>454</v>
      </c>
      <c r="D3" s="745"/>
      <c r="E3" s="745"/>
      <c r="F3" s="745"/>
      <c r="G3" s="745"/>
      <c r="H3" s="745"/>
      <c r="I3" s="745"/>
      <c r="J3" s="745"/>
      <c r="K3" s="745"/>
      <c r="L3" s="745"/>
      <c r="M3" s="745"/>
      <c r="N3" s="745"/>
      <c r="O3" s="745"/>
      <c r="P3" s="745"/>
      <c r="Q3" s="745"/>
      <c r="R3" s="745"/>
      <c r="S3" s="745"/>
      <c r="T3" s="745"/>
      <c r="U3" s="124"/>
    </row>
    <row r="4" spans="2:24" ht="15" x14ac:dyDescent="0.2">
      <c r="B4" s="127"/>
      <c r="C4" s="185"/>
      <c r="D4" s="185"/>
      <c r="E4" s="185"/>
      <c r="F4" s="185"/>
      <c r="G4" s="185"/>
      <c r="H4" s="160"/>
      <c r="I4" s="202"/>
      <c r="J4" s="279"/>
      <c r="K4" s="280"/>
      <c r="L4" s="202"/>
      <c r="M4" s="202"/>
      <c r="N4" s="202"/>
      <c r="O4" s="202"/>
      <c r="P4" s="202"/>
      <c r="Q4" s="202"/>
      <c r="R4" s="202"/>
      <c r="S4" s="202"/>
      <c r="T4" s="202"/>
      <c r="U4" s="131"/>
    </row>
    <row r="5" spans="2:24" ht="48.75" customHeight="1" x14ac:dyDescent="0.2">
      <c r="B5" s="127"/>
      <c r="C5" s="277" t="s">
        <v>453</v>
      </c>
      <c r="D5" s="278" t="s">
        <v>442</v>
      </c>
      <c r="E5" s="31"/>
      <c r="F5" s="31"/>
      <c r="G5" s="31"/>
      <c r="H5" s="31"/>
      <c r="I5" s="31"/>
      <c r="J5" s="31"/>
      <c r="K5" s="31"/>
      <c r="L5" s="31"/>
      <c r="M5" s="31"/>
      <c r="N5" s="31"/>
      <c r="O5" s="31"/>
      <c r="P5" s="31"/>
      <c r="Q5" s="31"/>
      <c r="R5" s="31"/>
      <c r="S5" s="31"/>
      <c r="T5" s="31"/>
      <c r="U5" s="124"/>
    </row>
    <row r="6" spans="2:24" s="137" customFormat="1" ht="21" thickBot="1" x14ac:dyDescent="0.25">
      <c r="B6" s="143"/>
      <c r="C6" s="750" t="s">
        <v>196</v>
      </c>
      <c r="D6" s="750"/>
      <c r="E6" s="750"/>
      <c r="F6" s="750"/>
      <c r="G6" s="750"/>
      <c r="H6" s="750"/>
      <c r="I6" s="750"/>
      <c r="J6" s="750"/>
      <c r="K6" s="750"/>
      <c r="L6" s="750"/>
      <c r="M6" s="750"/>
      <c r="N6" s="750"/>
      <c r="O6" s="750"/>
      <c r="P6" s="750"/>
      <c r="Q6" s="750"/>
      <c r="R6" s="750"/>
      <c r="S6" s="750"/>
      <c r="T6" s="750"/>
      <c r="U6" s="144"/>
    </row>
    <row r="7" spans="2:24" s="137" customFormat="1" ht="29.25" customHeight="1" x14ac:dyDescent="0.2">
      <c r="B7" s="143"/>
      <c r="C7" s="747" t="str">
        <f>"Table 3: Annual Municipal Energy Use in Native Units and MMBtu - Plan Year "&amp;D5</f>
        <v>Table 3: Annual Municipal Energy Use in Native Units and MMBtu - Plan Year &lt;Select Year&gt;</v>
      </c>
      <c r="D7" s="748"/>
      <c r="E7" s="748"/>
      <c r="F7" s="748"/>
      <c r="G7" s="748"/>
      <c r="H7" s="748"/>
      <c r="I7" s="748"/>
      <c r="J7" s="748"/>
      <c r="K7" s="748"/>
      <c r="L7" s="748"/>
      <c r="M7" s="748"/>
      <c r="N7" s="748"/>
      <c r="O7" s="748"/>
      <c r="P7" s="748"/>
      <c r="Q7" s="748"/>
      <c r="R7" s="748"/>
      <c r="S7" s="748"/>
      <c r="T7" s="749"/>
      <c r="U7" s="144"/>
    </row>
    <row r="8" spans="2:24" s="137" customFormat="1" ht="26.25" customHeight="1" x14ac:dyDescent="0.2">
      <c r="B8" s="143"/>
      <c r="C8" s="174"/>
      <c r="D8" s="754" t="s">
        <v>229</v>
      </c>
      <c r="E8" s="754"/>
      <c r="F8" s="754"/>
      <c r="G8" s="754"/>
      <c r="H8" s="754"/>
      <c r="I8" s="754"/>
      <c r="J8" s="754"/>
      <c r="K8" s="754"/>
      <c r="L8" s="754"/>
      <c r="M8" s="754"/>
      <c r="N8" s="754"/>
      <c r="O8" s="754"/>
      <c r="P8" s="754"/>
      <c r="Q8" s="754"/>
      <c r="R8" s="754"/>
      <c r="S8" s="754"/>
      <c r="T8" s="175"/>
      <c r="U8" s="144"/>
      <c r="X8" s="137" t="s">
        <v>272</v>
      </c>
    </row>
    <row r="9" spans="2:24" s="179" customFormat="1" ht="35.25" customHeight="1" x14ac:dyDescent="0.25">
      <c r="B9" s="176"/>
      <c r="C9" s="177"/>
      <c r="D9" s="746" t="s">
        <v>46</v>
      </c>
      <c r="E9" s="746"/>
      <c r="F9" s="746" t="s">
        <v>47</v>
      </c>
      <c r="G9" s="746"/>
      <c r="H9" s="746" t="s">
        <v>48</v>
      </c>
      <c r="I9" s="746"/>
      <c r="J9" s="746" t="s">
        <v>49</v>
      </c>
      <c r="K9" s="746"/>
      <c r="L9" s="746" t="s">
        <v>50</v>
      </c>
      <c r="M9" s="746"/>
      <c r="N9" s="746" t="s">
        <v>51</v>
      </c>
      <c r="O9" s="746"/>
      <c r="P9" s="751" t="s">
        <v>66</v>
      </c>
      <c r="Q9" s="751"/>
      <c r="R9" s="751" t="s">
        <v>67</v>
      </c>
      <c r="S9" s="751"/>
      <c r="T9" s="752" t="s">
        <v>52</v>
      </c>
      <c r="U9" s="178"/>
    </row>
    <row r="10" spans="2:24" s="179" customFormat="1" ht="24" customHeight="1" x14ac:dyDescent="0.2">
      <c r="B10" s="176"/>
      <c r="C10" s="180"/>
      <c r="D10" s="281" t="s">
        <v>53</v>
      </c>
      <c r="E10" s="281" t="s">
        <v>54</v>
      </c>
      <c r="F10" s="281" t="s">
        <v>55</v>
      </c>
      <c r="G10" s="281" t="s">
        <v>54</v>
      </c>
      <c r="H10" s="281" t="s">
        <v>56</v>
      </c>
      <c r="I10" s="281" t="s">
        <v>54</v>
      </c>
      <c r="J10" s="281" t="s">
        <v>56</v>
      </c>
      <c r="K10" s="281" t="s">
        <v>54</v>
      </c>
      <c r="L10" s="281" t="s">
        <v>56</v>
      </c>
      <c r="M10" s="281" t="s">
        <v>54</v>
      </c>
      <c r="N10" s="281" t="s">
        <v>56</v>
      </c>
      <c r="O10" s="281" t="s">
        <v>54</v>
      </c>
      <c r="P10" s="281" t="s">
        <v>53</v>
      </c>
      <c r="Q10" s="281" t="s">
        <v>54</v>
      </c>
      <c r="R10" s="281" t="s">
        <v>55</v>
      </c>
      <c r="S10" s="281" t="s">
        <v>54</v>
      </c>
      <c r="T10" s="753"/>
      <c r="U10" s="178"/>
    </row>
    <row r="11" spans="2:24" ht="24" customHeight="1" x14ac:dyDescent="0.2">
      <c r="B11" s="122"/>
      <c r="C11" s="181" t="s">
        <v>57</v>
      </c>
      <c r="D11" s="283"/>
      <c r="E11" s="282">
        <f>D11*kwh_MMBTU</f>
        <v>0</v>
      </c>
      <c r="F11" s="283"/>
      <c r="G11" s="282">
        <f>F11*therms_MMBTU</f>
        <v>0</v>
      </c>
      <c r="H11" s="283"/>
      <c r="I11" s="282">
        <f>H11*GalFuelOil_MMBTU</f>
        <v>0</v>
      </c>
      <c r="J11" s="283"/>
      <c r="K11" s="282">
        <f>J11*GalPropane_MMBTU</f>
        <v>0</v>
      </c>
      <c r="L11" s="283"/>
      <c r="M11" s="282">
        <f>L11*GalGasoline_MMBTU</f>
        <v>0</v>
      </c>
      <c r="N11" s="283"/>
      <c r="O11" s="282">
        <f>N11*GalDiesel_MMBTU</f>
        <v>0</v>
      </c>
      <c r="P11" s="283"/>
      <c r="Q11" s="282">
        <f>P11*kwh_MMBTU</f>
        <v>0</v>
      </c>
      <c r="R11" s="283"/>
      <c r="S11" s="282">
        <f>R11*therms_MMBTU</f>
        <v>0</v>
      </c>
      <c r="T11" s="287">
        <f>E11+G11+I11+K11+M11+O11+Q11+S11</f>
        <v>0</v>
      </c>
      <c r="U11" s="182"/>
    </row>
    <row r="12" spans="2:24" ht="24" customHeight="1" x14ac:dyDescent="0.2">
      <c r="B12" s="122"/>
      <c r="C12" s="181" t="s">
        <v>0</v>
      </c>
      <c r="D12" s="283"/>
      <c r="E12" s="282">
        <f>D12*kwh_MMBTU</f>
        <v>0</v>
      </c>
      <c r="F12" s="283"/>
      <c r="G12" s="282">
        <f>F12*therms_MMBTU</f>
        <v>0</v>
      </c>
      <c r="H12" s="283"/>
      <c r="I12" s="282">
        <f>H12*GalFuelOil_MMBTU</f>
        <v>0</v>
      </c>
      <c r="J12" s="283"/>
      <c r="K12" s="282">
        <f>J12*GalPropane_MMBTU</f>
        <v>0</v>
      </c>
      <c r="L12" s="283"/>
      <c r="M12" s="282">
        <f>L12*GalGasoline_MMBTU</f>
        <v>0</v>
      </c>
      <c r="N12" s="283"/>
      <c r="O12" s="282">
        <f>N12*GalDiesel_MMBTU</f>
        <v>0</v>
      </c>
      <c r="P12" s="283"/>
      <c r="Q12" s="282">
        <f>P12*kwh_MMBTU</f>
        <v>0</v>
      </c>
      <c r="R12" s="283"/>
      <c r="S12" s="282">
        <f>R12*therms_MMBTU</f>
        <v>0</v>
      </c>
      <c r="T12" s="287">
        <f t="shared" ref="T12:T19" si="0">E12+G12+I12+K12+M12+O12+Q12+S12</f>
        <v>0</v>
      </c>
      <c r="U12" s="182"/>
    </row>
    <row r="13" spans="2:24" ht="24" customHeight="1" x14ac:dyDescent="0.2">
      <c r="B13" s="122"/>
      <c r="C13" s="181" t="s">
        <v>58</v>
      </c>
      <c r="D13" s="283"/>
      <c r="E13" s="282">
        <f>D13*kwh_MMBTU</f>
        <v>0</v>
      </c>
      <c r="F13" s="283"/>
      <c r="G13" s="282">
        <f>F13*therms_MMBTU</f>
        <v>0</v>
      </c>
      <c r="H13" s="283"/>
      <c r="I13" s="282">
        <f>H13*GalFuelOil_MMBTU</f>
        <v>0</v>
      </c>
      <c r="J13" s="283"/>
      <c r="K13" s="282">
        <f>J13*GalPropane_MMBTU</f>
        <v>0</v>
      </c>
      <c r="L13" s="283"/>
      <c r="M13" s="282">
        <f>L13*GalGasoline_MMBTU</f>
        <v>0</v>
      </c>
      <c r="N13" s="283"/>
      <c r="O13" s="282">
        <f>N13*GalDiesel_MMBTU</f>
        <v>0</v>
      </c>
      <c r="P13" s="283"/>
      <c r="Q13" s="282">
        <f>P13*kwh_MMBTU</f>
        <v>0</v>
      </c>
      <c r="R13" s="283"/>
      <c r="S13" s="282">
        <f>R13*therms_MMBTU</f>
        <v>0</v>
      </c>
      <c r="T13" s="287">
        <f t="shared" si="0"/>
        <v>0</v>
      </c>
      <c r="U13" s="182"/>
    </row>
    <row r="14" spans="2:24" ht="30.75" customHeight="1" x14ac:dyDescent="0.2">
      <c r="B14" s="122"/>
      <c r="C14" s="284" t="s">
        <v>59</v>
      </c>
      <c r="D14" s="285">
        <f>SUM(D11:D13)</f>
        <v>0</v>
      </c>
      <c r="E14" s="285">
        <f t="shared" ref="E14:S14" si="1">SUM(E11:E13)</f>
        <v>0</v>
      </c>
      <c r="F14" s="285">
        <f t="shared" si="1"/>
        <v>0</v>
      </c>
      <c r="G14" s="285">
        <f t="shared" si="1"/>
        <v>0</v>
      </c>
      <c r="H14" s="285">
        <f t="shared" si="1"/>
        <v>0</v>
      </c>
      <c r="I14" s="285">
        <f t="shared" si="1"/>
        <v>0</v>
      </c>
      <c r="J14" s="285">
        <f t="shared" si="1"/>
        <v>0</v>
      </c>
      <c r="K14" s="285">
        <f t="shared" si="1"/>
        <v>0</v>
      </c>
      <c r="L14" s="285">
        <f t="shared" si="1"/>
        <v>0</v>
      </c>
      <c r="M14" s="285">
        <f t="shared" si="1"/>
        <v>0</v>
      </c>
      <c r="N14" s="285">
        <f t="shared" si="1"/>
        <v>0</v>
      </c>
      <c r="O14" s="285">
        <f t="shared" si="1"/>
        <v>0</v>
      </c>
      <c r="P14" s="285">
        <f t="shared" si="1"/>
        <v>0</v>
      </c>
      <c r="Q14" s="285">
        <f t="shared" si="1"/>
        <v>0</v>
      </c>
      <c r="R14" s="285">
        <f t="shared" si="1"/>
        <v>0</v>
      </c>
      <c r="S14" s="285">
        <f t="shared" si="1"/>
        <v>0</v>
      </c>
      <c r="T14" s="286">
        <f>E14+G14+I14+K14+M14+O14+Q14+S14</f>
        <v>0</v>
      </c>
      <c r="U14" s="182"/>
    </row>
    <row r="15" spans="2:24" ht="35.25" customHeight="1" x14ac:dyDescent="0.2">
      <c r="B15" s="122"/>
      <c r="C15" s="180" t="s">
        <v>60</v>
      </c>
      <c r="D15" s="283"/>
      <c r="E15" s="282">
        <f>D15*kwh_MMBTU</f>
        <v>0</v>
      </c>
      <c r="F15" s="283"/>
      <c r="G15" s="282">
        <f>F15*therms_MMBTU</f>
        <v>0</v>
      </c>
      <c r="H15" s="283"/>
      <c r="I15" s="282">
        <f>H15*GalFuelOil_MMBTU</f>
        <v>0</v>
      </c>
      <c r="J15" s="283"/>
      <c r="K15" s="282">
        <f>J15*GalPropane_MMBTU</f>
        <v>0</v>
      </c>
      <c r="L15" s="283"/>
      <c r="M15" s="282">
        <f>L15*GalGasoline_MMBTU</f>
        <v>0</v>
      </c>
      <c r="N15" s="283"/>
      <c r="O15" s="282">
        <f>N15*GalDiesel_MMBTU</f>
        <v>0</v>
      </c>
      <c r="P15" s="283"/>
      <c r="Q15" s="282">
        <f>P15*kwh_MMBTU</f>
        <v>0</v>
      </c>
      <c r="R15" s="283"/>
      <c r="S15" s="282">
        <f>R15*therms_MMBTU</f>
        <v>0</v>
      </c>
      <c r="T15" s="287">
        <f t="shared" si="0"/>
        <v>0</v>
      </c>
      <c r="U15" s="182"/>
    </row>
    <row r="16" spans="2:24" ht="24" customHeight="1" x14ac:dyDescent="0.2">
      <c r="B16" s="122"/>
      <c r="C16" s="180" t="s">
        <v>61</v>
      </c>
      <c r="D16" s="283"/>
      <c r="E16" s="282">
        <f>D16*kwh_MMBTU</f>
        <v>0</v>
      </c>
      <c r="F16" s="283"/>
      <c r="G16" s="282">
        <f>F16*therms_MMBTU</f>
        <v>0</v>
      </c>
      <c r="H16" s="283"/>
      <c r="I16" s="282">
        <f>H16*GalFuelOil_MMBTU</f>
        <v>0</v>
      </c>
      <c r="J16" s="283"/>
      <c r="K16" s="282">
        <f>J16*GalPropane_MMBTU</f>
        <v>0</v>
      </c>
      <c r="L16" s="283"/>
      <c r="M16" s="282">
        <f>L16*GalGasoline_MMBTU</f>
        <v>0</v>
      </c>
      <c r="N16" s="283"/>
      <c r="O16" s="282">
        <f>N16*GalDiesel_MMBTU</f>
        <v>0</v>
      </c>
      <c r="P16" s="283"/>
      <c r="Q16" s="282">
        <f>P16*kwh_MMBTU</f>
        <v>0</v>
      </c>
      <c r="R16" s="283"/>
      <c r="S16" s="282">
        <f>R16*therms_MMBTU</f>
        <v>0</v>
      </c>
      <c r="T16" s="287">
        <f>E16+G16+I16+K16+M16+O16+Q16+S16</f>
        <v>0</v>
      </c>
      <c r="U16" s="182"/>
    </row>
    <row r="17" spans="2:22" ht="24" customHeight="1" x14ac:dyDescent="0.2">
      <c r="B17" s="122"/>
      <c r="C17" s="180" t="s">
        <v>62</v>
      </c>
      <c r="D17" s="283"/>
      <c r="E17" s="282">
        <f>D17*kwh_MMBTU</f>
        <v>0</v>
      </c>
      <c r="F17" s="283"/>
      <c r="G17" s="282">
        <f>F17*therms_MMBTU</f>
        <v>0</v>
      </c>
      <c r="H17" s="283"/>
      <c r="I17" s="282">
        <f>H17*GalFuelOil_MMBTU</f>
        <v>0</v>
      </c>
      <c r="J17" s="283"/>
      <c r="K17" s="282">
        <f>J17*GalPropane_MMBTU</f>
        <v>0</v>
      </c>
      <c r="L17" s="283"/>
      <c r="M17" s="282">
        <f>L17*GalGasoline_MMBTU</f>
        <v>0</v>
      </c>
      <c r="N17" s="283"/>
      <c r="O17" s="282">
        <f>N17*GalDiesel_MMBTU</f>
        <v>0</v>
      </c>
      <c r="P17" s="283"/>
      <c r="Q17" s="282">
        <f>P17*kwh_MMBTU</f>
        <v>0</v>
      </c>
      <c r="R17" s="283"/>
      <c r="S17" s="282">
        <f>R17*therms_MMBTU</f>
        <v>0</v>
      </c>
      <c r="T17" s="287">
        <f t="shared" si="0"/>
        <v>0</v>
      </c>
      <c r="U17" s="182"/>
    </row>
    <row r="18" spans="2:22" ht="24" customHeight="1" x14ac:dyDescent="0.2">
      <c r="B18" s="122"/>
      <c r="C18" s="180" t="s">
        <v>63</v>
      </c>
      <c r="D18" s="283"/>
      <c r="E18" s="282">
        <f>D18*kwh_MMBTU</f>
        <v>0</v>
      </c>
      <c r="F18" s="283"/>
      <c r="G18" s="282">
        <f>F18*therms_MMBTU</f>
        <v>0</v>
      </c>
      <c r="H18" s="283"/>
      <c r="I18" s="282">
        <f>H18*GalFuelOil_MMBTU</f>
        <v>0</v>
      </c>
      <c r="J18" s="283"/>
      <c r="K18" s="282">
        <f>J18*GalPropane_MMBTU</f>
        <v>0</v>
      </c>
      <c r="L18" s="283"/>
      <c r="M18" s="282">
        <f>L18*GalGasoline_MMBTU</f>
        <v>0</v>
      </c>
      <c r="N18" s="283"/>
      <c r="O18" s="282">
        <f>N18*GalDiesel_MMBTU</f>
        <v>0</v>
      </c>
      <c r="P18" s="283"/>
      <c r="Q18" s="282">
        <f>P18*kwh_MMBTU</f>
        <v>0</v>
      </c>
      <c r="R18" s="283"/>
      <c r="S18" s="282">
        <f>R18*therms_MMBTU</f>
        <v>0</v>
      </c>
      <c r="T18" s="287">
        <f t="shared" si="0"/>
        <v>0</v>
      </c>
      <c r="U18" s="182"/>
    </row>
    <row r="19" spans="2:22" ht="35.25" customHeight="1" x14ac:dyDescent="0.2">
      <c r="B19" s="122"/>
      <c r="C19" s="180" t="s">
        <v>64</v>
      </c>
      <c r="D19" s="283"/>
      <c r="E19" s="282">
        <f>D19*kwh_MMBTU</f>
        <v>0</v>
      </c>
      <c r="F19" s="283"/>
      <c r="G19" s="282">
        <f>F19*therms_MMBTU</f>
        <v>0</v>
      </c>
      <c r="H19" s="283"/>
      <c r="I19" s="282">
        <f>H19*GalFuelOil_MMBTU</f>
        <v>0</v>
      </c>
      <c r="J19" s="283"/>
      <c r="K19" s="282">
        <f>J19*GalPropane_MMBTU</f>
        <v>0</v>
      </c>
      <c r="L19" s="283"/>
      <c r="M19" s="282">
        <f>L19*GalGasoline_MMBTU</f>
        <v>0</v>
      </c>
      <c r="N19" s="283"/>
      <c r="O19" s="282">
        <f>N19*GalDiesel_MMBTU</f>
        <v>0</v>
      </c>
      <c r="P19" s="283"/>
      <c r="Q19" s="282">
        <f>P19*kwh_MMBTU</f>
        <v>0</v>
      </c>
      <c r="R19" s="283"/>
      <c r="S19" s="282">
        <f>R19*therms_MMBTU</f>
        <v>0</v>
      </c>
      <c r="T19" s="287">
        <f t="shared" si="0"/>
        <v>0</v>
      </c>
      <c r="U19" s="182"/>
    </row>
    <row r="20" spans="2:22" ht="30.75" customHeight="1" thickBot="1" x14ac:dyDescent="0.25">
      <c r="B20" s="122"/>
      <c r="C20" s="288" t="s">
        <v>65</v>
      </c>
      <c r="D20" s="289">
        <f>SUM(D14:D19)</f>
        <v>0</v>
      </c>
      <c r="E20" s="289">
        <f>D20*0.003412</f>
        <v>0</v>
      </c>
      <c r="F20" s="289">
        <f>SUM(F14:F19)</f>
        <v>0</v>
      </c>
      <c r="G20" s="289">
        <f t="shared" ref="G20" si="2">F20*0.1</f>
        <v>0</v>
      </c>
      <c r="H20" s="289">
        <f>SUM(H14:H19)</f>
        <v>0</v>
      </c>
      <c r="I20" s="289">
        <f t="shared" ref="I20" si="3">H20*0.139</f>
        <v>0</v>
      </c>
      <c r="J20" s="289">
        <f>SUM(J14:J19)</f>
        <v>0</v>
      </c>
      <c r="K20" s="289">
        <f t="shared" ref="K20" si="4">J20*0.091</f>
        <v>0</v>
      </c>
      <c r="L20" s="289">
        <f>SUM(L14:L19)</f>
        <v>0</v>
      </c>
      <c r="M20" s="289">
        <f t="shared" ref="M20" si="5">L20*0.124</f>
        <v>0</v>
      </c>
      <c r="N20" s="289">
        <f>SUM(N14:N19)</f>
        <v>0</v>
      </c>
      <c r="O20" s="289">
        <f t="shared" ref="O20" si="6">N20*0.139</f>
        <v>0</v>
      </c>
      <c r="P20" s="289">
        <f>SUM(P14:P19)</f>
        <v>0</v>
      </c>
      <c r="Q20" s="289">
        <f t="shared" ref="Q20" si="7">P20*0.003412</f>
        <v>0</v>
      </c>
      <c r="R20" s="289">
        <f>SUM(R14:R19)</f>
        <v>0</v>
      </c>
      <c r="S20" s="289">
        <f t="shared" ref="S20" si="8">R20*0.1</f>
        <v>0</v>
      </c>
      <c r="T20" s="290">
        <f>E20+G20+I20+K20+M20+O20+Q20+S20</f>
        <v>0</v>
      </c>
      <c r="U20" s="182"/>
    </row>
    <row r="21" spans="2:22" ht="13.5" thickBot="1" x14ac:dyDescent="0.25">
      <c r="B21" s="133"/>
      <c r="C21" s="183"/>
      <c r="D21" s="184"/>
      <c r="E21" s="184"/>
      <c r="F21" s="184"/>
      <c r="G21" s="184"/>
      <c r="H21" s="184"/>
      <c r="I21" s="184"/>
      <c r="J21" s="184"/>
      <c r="K21" s="184"/>
      <c r="L21" s="184"/>
      <c r="M21" s="184"/>
      <c r="N21" s="184"/>
      <c r="O21" s="184"/>
      <c r="P21" s="184"/>
      <c r="Q21" s="184"/>
      <c r="R21" s="184"/>
      <c r="S21" s="184"/>
      <c r="T21" s="184"/>
      <c r="U21" s="135"/>
    </row>
    <row r="22" spans="2:22" x14ac:dyDescent="0.2"/>
    <row r="23" spans="2:22" hidden="1" x14ac:dyDescent="0.2"/>
    <row r="24" spans="2:22" hidden="1" x14ac:dyDescent="0.2"/>
    <row r="25" spans="2:22" hidden="1" x14ac:dyDescent="0.2">
      <c r="D25" s="170"/>
      <c r="E25" s="170"/>
      <c r="F25" s="170"/>
      <c r="G25" s="170"/>
      <c r="H25" s="170"/>
      <c r="I25" s="170"/>
      <c r="J25" s="170"/>
      <c r="K25" s="170"/>
      <c r="L25" s="170"/>
      <c r="M25" s="170"/>
      <c r="N25" s="170"/>
      <c r="O25" s="170"/>
      <c r="P25" s="170"/>
      <c r="Q25" s="170"/>
      <c r="R25" s="170"/>
      <c r="S25" s="170"/>
      <c r="T25" s="170"/>
      <c r="U25" s="170"/>
      <c r="V25" s="170"/>
    </row>
    <row r="26" spans="2:22" hidden="1" x14ac:dyDescent="0.2">
      <c r="D26" s="170"/>
      <c r="E26" s="170"/>
      <c r="F26" s="170"/>
      <c r="G26" s="170"/>
      <c r="H26" s="170"/>
      <c r="I26" s="170"/>
      <c r="J26" s="170"/>
      <c r="K26" s="170"/>
      <c r="L26" s="170"/>
      <c r="M26" s="170"/>
      <c r="N26" s="170"/>
      <c r="O26" s="170"/>
      <c r="P26" s="170"/>
      <c r="Q26" s="170"/>
      <c r="R26" s="170"/>
      <c r="S26" s="170"/>
      <c r="T26" s="170"/>
      <c r="U26" s="170"/>
      <c r="V26" s="170"/>
    </row>
    <row r="27" spans="2:22" hidden="1" x14ac:dyDescent="0.2">
      <c r="D27" s="170"/>
      <c r="E27" s="170"/>
      <c r="F27" s="170"/>
      <c r="G27" s="170"/>
      <c r="H27" s="170"/>
      <c r="I27" s="170"/>
      <c r="J27" s="170"/>
      <c r="K27" s="170"/>
      <c r="L27" s="170"/>
      <c r="M27" s="170"/>
      <c r="N27" s="170"/>
      <c r="O27" s="170"/>
      <c r="P27" s="170"/>
      <c r="Q27" s="170"/>
      <c r="R27" s="170"/>
      <c r="S27" s="170"/>
      <c r="T27" s="170"/>
      <c r="U27" s="170"/>
      <c r="V27" s="170"/>
    </row>
    <row r="28" spans="2:22" hidden="1" x14ac:dyDescent="0.2">
      <c r="D28" s="170"/>
      <c r="E28" s="170"/>
      <c r="F28" s="170"/>
      <c r="G28" s="170"/>
      <c r="H28" s="170"/>
      <c r="I28" s="170"/>
      <c r="J28" s="170"/>
      <c r="K28" s="170"/>
      <c r="L28" s="170"/>
      <c r="M28" s="170"/>
      <c r="N28" s="170"/>
      <c r="O28" s="170"/>
      <c r="P28" s="170"/>
      <c r="Q28" s="170"/>
      <c r="R28" s="170"/>
      <c r="S28" s="170"/>
      <c r="T28" s="170"/>
      <c r="U28" s="170"/>
      <c r="V28" s="170"/>
    </row>
    <row r="29" spans="2:22" hidden="1" x14ac:dyDescent="0.2">
      <c r="D29" s="170"/>
      <c r="E29" s="170"/>
      <c r="F29" s="170"/>
      <c r="G29" s="170"/>
      <c r="H29" s="170"/>
      <c r="I29" s="170"/>
      <c r="J29" s="170"/>
      <c r="K29" s="170"/>
      <c r="L29" s="170"/>
      <c r="M29" s="170"/>
      <c r="N29" s="170"/>
      <c r="O29" s="170"/>
      <c r="P29" s="170"/>
      <c r="Q29" s="170"/>
      <c r="R29" s="170"/>
      <c r="S29" s="170"/>
      <c r="T29" s="170"/>
      <c r="U29" s="170"/>
      <c r="V29" s="170"/>
    </row>
    <row r="30" spans="2:22" hidden="1" x14ac:dyDescent="0.2">
      <c r="D30" s="170"/>
      <c r="E30" s="170"/>
      <c r="F30" s="170"/>
      <c r="G30" s="170"/>
      <c r="H30" s="170"/>
      <c r="I30" s="170"/>
      <c r="J30" s="170"/>
      <c r="K30" s="170"/>
      <c r="L30" s="170"/>
      <c r="M30" s="170"/>
      <c r="N30" s="170"/>
      <c r="O30" s="170"/>
      <c r="P30" s="170"/>
      <c r="Q30" s="170"/>
      <c r="R30" s="170"/>
      <c r="S30" s="170"/>
      <c r="T30" s="170"/>
      <c r="U30" s="170"/>
      <c r="V30" s="170"/>
    </row>
    <row r="31" spans="2:22" hidden="1" x14ac:dyDescent="0.2">
      <c r="D31" s="170"/>
      <c r="E31" s="170"/>
      <c r="F31" s="170"/>
      <c r="G31" s="170"/>
      <c r="H31" s="170"/>
      <c r="I31" s="170"/>
      <c r="J31" s="170"/>
      <c r="K31" s="170"/>
      <c r="L31" s="170"/>
      <c r="M31" s="170"/>
      <c r="N31" s="170"/>
      <c r="O31" s="170"/>
      <c r="P31" s="170"/>
      <c r="Q31" s="170"/>
      <c r="R31" s="170"/>
      <c r="S31" s="170"/>
      <c r="T31" s="170"/>
      <c r="U31" s="170"/>
      <c r="V31" s="170"/>
    </row>
    <row r="32" spans="2:22" hidden="1" x14ac:dyDescent="0.2">
      <c r="D32" s="170"/>
      <c r="E32" s="170"/>
      <c r="F32" s="170"/>
      <c r="G32" s="170"/>
      <c r="H32" s="170"/>
      <c r="I32" s="170"/>
      <c r="J32" s="170"/>
      <c r="K32" s="170"/>
      <c r="L32" s="170"/>
      <c r="M32" s="170"/>
      <c r="N32" s="170"/>
      <c r="O32" s="170"/>
      <c r="P32" s="170"/>
      <c r="Q32" s="170"/>
      <c r="R32" s="170"/>
      <c r="S32" s="170"/>
      <c r="T32" s="170"/>
      <c r="U32" s="170"/>
      <c r="V32" s="170"/>
    </row>
    <row r="33" spans="4:22" hidden="1" x14ac:dyDescent="0.2">
      <c r="D33" s="170"/>
      <c r="E33" s="170"/>
      <c r="F33" s="170"/>
      <c r="G33" s="170"/>
      <c r="H33" s="170"/>
      <c r="I33" s="170"/>
      <c r="J33" s="170"/>
      <c r="K33" s="170"/>
      <c r="L33" s="170"/>
      <c r="M33" s="170"/>
      <c r="N33" s="170"/>
      <c r="O33" s="170"/>
      <c r="P33" s="170"/>
      <c r="Q33" s="170"/>
      <c r="R33" s="170"/>
      <c r="S33" s="170"/>
      <c r="T33" s="170"/>
      <c r="U33" s="170"/>
      <c r="V33" s="170"/>
    </row>
    <row r="34" spans="4:22" hidden="1" x14ac:dyDescent="0.2">
      <c r="D34" s="170"/>
      <c r="E34" s="170"/>
      <c r="F34" s="170"/>
      <c r="G34" s="170"/>
      <c r="H34" s="170"/>
      <c r="I34" s="170"/>
      <c r="J34" s="170"/>
      <c r="K34" s="170"/>
      <c r="L34" s="170"/>
      <c r="M34" s="170"/>
      <c r="N34" s="170"/>
      <c r="O34" s="170"/>
      <c r="P34" s="170"/>
      <c r="Q34" s="170"/>
      <c r="R34" s="170"/>
      <c r="S34" s="170"/>
      <c r="T34" s="170"/>
      <c r="U34" s="170"/>
      <c r="V34" s="170"/>
    </row>
    <row r="35" spans="4:22" hidden="1" x14ac:dyDescent="0.2">
      <c r="D35" s="170"/>
      <c r="E35" s="170"/>
      <c r="F35" s="170"/>
      <c r="G35" s="170"/>
      <c r="H35" s="170"/>
      <c r="I35" s="170"/>
      <c r="J35" s="170"/>
      <c r="K35" s="170"/>
      <c r="L35" s="170"/>
      <c r="M35" s="170"/>
      <c r="N35" s="170"/>
      <c r="O35" s="170"/>
      <c r="P35" s="170"/>
      <c r="Q35" s="170"/>
      <c r="R35" s="170"/>
      <c r="S35" s="170"/>
      <c r="T35" s="170"/>
      <c r="U35" s="170"/>
      <c r="V35" s="170"/>
    </row>
    <row r="36" spans="4:22" hidden="1" x14ac:dyDescent="0.2"/>
    <row r="37" spans="4:22" hidden="1" x14ac:dyDescent="0.2"/>
    <row r="38" spans="4:22" hidden="1" x14ac:dyDescent="0.2"/>
    <row r="39" spans="4:22" hidden="1" x14ac:dyDescent="0.2"/>
    <row r="40" spans="4:22" hidden="1" x14ac:dyDescent="0.2"/>
    <row r="41" spans="4:22" hidden="1" x14ac:dyDescent="0.2"/>
    <row r="42" spans="4:22" hidden="1" x14ac:dyDescent="0.2"/>
    <row r="43" spans="4:22" hidden="1" x14ac:dyDescent="0.2"/>
    <row r="44" spans="4:22" hidden="1" x14ac:dyDescent="0.2"/>
    <row r="45" spans="4:22" hidden="1" x14ac:dyDescent="0.2"/>
    <row r="46" spans="4:22" hidden="1" x14ac:dyDescent="0.2"/>
    <row r="47" spans="4:22" hidden="1" x14ac:dyDescent="0.2"/>
    <row r="48" spans="4:22"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sheetData>
  <mergeCells count="13">
    <mergeCell ref="C3:T3"/>
    <mergeCell ref="L9:M9"/>
    <mergeCell ref="C7:T7"/>
    <mergeCell ref="N9:O9"/>
    <mergeCell ref="C6:T6"/>
    <mergeCell ref="P9:Q9"/>
    <mergeCell ref="T9:T10"/>
    <mergeCell ref="R9:S9"/>
    <mergeCell ref="D9:E9"/>
    <mergeCell ref="F9:G9"/>
    <mergeCell ref="H9:I9"/>
    <mergeCell ref="J9:K9"/>
    <mergeCell ref="D8:S8"/>
  </mergeCells>
  <phoneticPr fontId="16" type="noConversion"/>
  <dataValidations count="1">
    <dataValidation type="list" allowBlank="1" showInputMessage="1" showErrorMessage="1" sqref="D5 K4">
      <formula1>Years</formula1>
    </dataValidation>
  </dataValidations>
  <printOptions horizontalCentered="1" gridLines="1"/>
  <pageMargins left="0.45" right="0.45" top="0.5" bottom="0.5" header="0" footer="0"/>
  <pageSetup scale="68"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A1:F26"/>
  <sheetViews>
    <sheetView showGridLines="0" zoomScale="85" zoomScaleNormal="85" workbookViewId="0">
      <selection activeCell="C18" sqref="C5:C18"/>
    </sheetView>
  </sheetViews>
  <sheetFormatPr defaultColWidth="0" defaultRowHeight="18" zeroHeight="1" x14ac:dyDescent="0.25"/>
  <cols>
    <col min="1" max="2" width="8.85546875" style="61" customWidth="1"/>
    <col min="3" max="3" width="22.85546875" style="61" customWidth="1"/>
    <col min="4" max="4" width="93.42578125" style="61" customWidth="1"/>
    <col min="5" max="6" width="8.85546875" style="61" customWidth="1"/>
    <col min="7" max="16384" width="8.85546875" style="61" hidden="1"/>
  </cols>
  <sheetData>
    <row r="1" spans="2:5" ht="18.75" thickBot="1" x14ac:dyDescent="0.3"/>
    <row r="2" spans="2:5" x14ac:dyDescent="0.25">
      <c r="B2" s="51"/>
      <c r="C2" s="52"/>
      <c r="D2" s="52"/>
      <c r="E2" s="53"/>
    </row>
    <row r="3" spans="2:5" ht="20.25" x14ac:dyDescent="0.3">
      <c r="B3" s="54"/>
      <c r="C3" s="55" t="s">
        <v>236</v>
      </c>
      <c r="D3" s="55" t="s">
        <v>237</v>
      </c>
      <c r="E3" s="56"/>
    </row>
    <row r="4" spans="2:5" ht="18.75" thickBot="1" x14ac:dyDescent="0.3">
      <c r="B4" s="54"/>
      <c r="C4" s="57"/>
      <c r="D4" s="57"/>
      <c r="E4" s="56"/>
    </row>
    <row r="5" spans="2:5" ht="18" customHeight="1" thickBot="1" x14ac:dyDescent="0.3">
      <c r="B5" s="54"/>
      <c r="C5" s="29" t="s">
        <v>243</v>
      </c>
      <c r="D5" s="30" t="s">
        <v>244</v>
      </c>
      <c r="E5" s="56"/>
    </row>
    <row r="6" spans="2:5" ht="18" customHeight="1" thickBot="1" x14ac:dyDescent="0.3">
      <c r="B6" s="54"/>
      <c r="C6" s="27" t="s">
        <v>245</v>
      </c>
      <c r="D6" s="28" t="s">
        <v>246</v>
      </c>
      <c r="E6" s="56"/>
    </row>
    <row r="7" spans="2:5" ht="18" customHeight="1" thickBot="1" x14ac:dyDescent="0.3">
      <c r="B7" s="54"/>
      <c r="C7" s="27" t="s">
        <v>254</v>
      </c>
      <c r="D7" s="28" t="s">
        <v>249</v>
      </c>
      <c r="E7" s="56"/>
    </row>
    <row r="8" spans="2:5" ht="18" customHeight="1" thickBot="1" x14ac:dyDescent="0.3">
      <c r="B8" s="54"/>
      <c r="C8" s="27" t="s">
        <v>239</v>
      </c>
      <c r="D8" s="28" t="s">
        <v>234</v>
      </c>
      <c r="E8" s="56"/>
    </row>
    <row r="9" spans="2:5" ht="18" customHeight="1" thickBot="1" x14ac:dyDescent="0.3">
      <c r="B9" s="54"/>
      <c r="C9" s="27" t="s">
        <v>231</v>
      </c>
      <c r="D9" s="28" t="s">
        <v>250</v>
      </c>
      <c r="E9" s="56"/>
    </row>
    <row r="10" spans="2:5" ht="18" customHeight="1" thickBot="1" x14ac:dyDescent="0.3">
      <c r="B10" s="54"/>
      <c r="C10" s="27" t="s">
        <v>232</v>
      </c>
      <c r="D10" s="28" t="s">
        <v>251</v>
      </c>
      <c r="E10" s="56"/>
    </row>
    <row r="11" spans="2:5" ht="18" customHeight="1" thickBot="1" x14ac:dyDescent="0.3">
      <c r="B11" s="54"/>
      <c r="C11" s="27" t="s">
        <v>233</v>
      </c>
      <c r="D11" s="28" t="s">
        <v>252</v>
      </c>
      <c r="E11" s="56"/>
    </row>
    <row r="12" spans="2:5" ht="18" customHeight="1" thickBot="1" x14ac:dyDescent="0.3">
      <c r="B12" s="54"/>
      <c r="C12" s="27" t="s">
        <v>241</v>
      </c>
      <c r="D12" s="28" t="s">
        <v>253</v>
      </c>
      <c r="E12" s="56"/>
    </row>
    <row r="13" spans="2:5" ht="18" customHeight="1" thickBot="1" x14ac:dyDescent="0.3">
      <c r="B13" s="54"/>
      <c r="C13" s="27" t="s">
        <v>235</v>
      </c>
      <c r="D13" s="28" t="s">
        <v>242</v>
      </c>
      <c r="E13" s="56"/>
    </row>
    <row r="14" spans="2:5" ht="18" customHeight="1" thickBot="1" x14ac:dyDescent="0.3">
      <c r="B14" s="54"/>
      <c r="C14" s="27" t="s">
        <v>240</v>
      </c>
      <c r="D14" s="28" t="s">
        <v>247</v>
      </c>
      <c r="E14" s="56"/>
    </row>
    <row r="15" spans="2:5" ht="18" customHeight="1" thickBot="1" x14ac:dyDescent="0.3">
      <c r="B15" s="54"/>
      <c r="C15" s="27" t="s">
        <v>42</v>
      </c>
      <c r="D15" s="28" t="s">
        <v>265</v>
      </c>
      <c r="E15" s="56"/>
    </row>
    <row r="16" spans="2:5" ht="18" customHeight="1" thickBot="1" x14ac:dyDescent="0.3">
      <c r="B16" s="54"/>
      <c r="C16" s="29" t="s">
        <v>238</v>
      </c>
      <c r="D16" s="30" t="s">
        <v>248</v>
      </c>
      <c r="E16" s="56"/>
    </row>
    <row r="17" spans="2:5" ht="40.9" customHeight="1" thickBot="1" x14ac:dyDescent="0.3">
      <c r="B17" s="54"/>
      <c r="C17" s="29" t="s">
        <v>486</v>
      </c>
      <c r="D17" s="30" t="s">
        <v>496</v>
      </c>
      <c r="E17" s="56"/>
    </row>
    <row r="18" spans="2:5" ht="19.5" thickBot="1" x14ac:dyDescent="0.3">
      <c r="B18" s="54"/>
      <c r="C18" s="29" t="s">
        <v>487</v>
      </c>
      <c r="D18" s="30" t="s">
        <v>497</v>
      </c>
      <c r="E18" s="56"/>
    </row>
    <row r="19" spans="2:5" x14ac:dyDescent="0.25">
      <c r="B19" s="54"/>
      <c r="C19" s="57"/>
      <c r="D19" s="57"/>
      <c r="E19" s="56"/>
    </row>
    <row r="20" spans="2:5" ht="21" thickBot="1" x14ac:dyDescent="0.35">
      <c r="B20" s="54"/>
      <c r="C20" s="55" t="s">
        <v>261</v>
      </c>
      <c r="D20" s="55" t="s">
        <v>237</v>
      </c>
      <c r="E20" s="56"/>
    </row>
    <row r="21" spans="2:5" ht="19.5" thickBot="1" x14ac:dyDescent="0.3">
      <c r="B21" s="54"/>
      <c r="C21" s="29" t="s">
        <v>255</v>
      </c>
      <c r="D21" s="451" t="s">
        <v>264</v>
      </c>
      <c r="E21" s="56"/>
    </row>
    <row r="22" spans="2:5" ht="38.25" thickBot="1" x14ac:dyDescent="0.3">
      <c r="B22" s="54"/>
      <c r="C22" s="27" t="s">
        <v>256</v>
      </c>
      <c r="D22" s="28" t="s">
        <v>263</v>
      </c>
      <c r="E22" s="56"/>
    </row>
    <row r="23" spans="2:5" ht="19.5" thickBot="1" x14ac:dyDescent="0.3">
      <c r="B23" s="54"/>
      <c r="C23" s="27" t="s">
        <v>257</v>
      </c>
      <c r="D23" s="28" t="s">
        <v>262</v>
      </c>
      <c r="E23" s="56"/>
    </row>
    <row r="24" spans="2:5" ht="19.5" thickBot="1" x14ac:dyDescent="0.3">
      <c r="B24" s="54"/>
      <c r="C24" s="27" t="s">
        <v>488</v>
      </c>
      <c r="D24" s="28" t="s">
        <v>489</v>
      </c>
      <c r="E24" s="56"/>
    </row>
    <row r="25" spans="2:5" ht="18.75" thickBot="1" x14ac:dyDescent="0.3">
      <c r="B25" s="58"/>
      <c r="C25" s="59"/>
      <c r="D25" s="59"/>
      <c r="E25" s="60"/>
    </row>
    <row r="26" spans="2:5" x14ac:dyDescent="0.25"/>
  </sheetData>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177"/>
  <sheetViews>
    <sheetView showGridLines="0" zoomScale="60" zoomScaleNormal="60" workbookViewId="0">
      <pane xSplit="6" ySplit="6" topLeftCell="G28" activePane="bottomRight" state="frozen"/>
      <selection pane="topRight" activeCell="E1" sqref="E1"/>
      <selection pane="bottomLeft" activeCell="A4" sqref="A4"/>
      <selection pane="bottomRight" activeCell="I38" sqref="I38"/>
    </sheetView>
  </sheetViews>
  <sheetFormatPr defaultColWidth="0" defaultRowHeight="14.25" zeroHeight="1" x14ac:dyDescent="0.2"/>
  <cols>
    <col min="1" max="1" width="3.140625" style="137" customWidth="1"/>
    <col min="2" max="2" width="2.85546875" style="137" customWidth="1"/>
    <col min="3" max="3" width="19.85546875" style="137" customWidth="1"/>
    <col min="4" max="4" width="32.140625" style="137" bestFit="1" customWidth="1"/>
    <col min="5" max="5" width="25.140625" style="137" customWidth="1"/>
    <col min="6" max="6" width="21.5703125" style="137" customWidth="1"/>
    <col min="7" max="8" width="16.5703125" style="137" customWidth="1"/>
    <col min="9" max="10" width="14" style="137" customWidth="1"/>
    <col min="11" max="14" width="13.5703125" style="137" customWidth="1"/>
    <col min="15" max="15" width="14.28515625" style="137" customWidth="1"/>
    <col min="16" max="16" width="13.5703125" style="137" customWidth="1"/>
    <col min="17" max="17" width="15.85546875" style="137" customWidth="1"/>
    <col min="18" max="18" width="14.7109375" style="137" customWidth="1"/>
    <col min="19" max="19" width="14.42578125" style="138" customWidth="1"/>
    <col min="20" max="20" width="20.42578125" style="137" customWidth="1"/>
    <col min="21" max="21" width="28.140625" style="137" customWidth="1"/>
    <col min="22" max="22" width="9.140625" style="137" customWidth="1"/>
    <col min="23" max="23" width="0" style="137" hidden="1" customWidth="1"/>
    <col min="24" max="16384" width="9.140625" style="137" hidden="1"/>
  </cols>
  <sheetData>
    <row r="1" spans="2:22" ht="15" thickBot="1" x14ac:dyDescent="0.25"/>
    <row r="2" spans="2:22" x14ac:dyDescent="0.2">
      <c r="B2" s="139"/>
      <c r="C2" s="140"/>
      <c r="D2" s="140"/>
      <c r="E2" s="140"/>
      <c r="F2" s="140"/>
      <c r="G2" s="140"/>
      <c r="H2" s="140"/>
      <c r="I2" s="140"/>
      <c r="J2" s="140"/>
      <c r="K2" s="140"/>
      <c r="L2" s="140"/>
      <c r="M2" s="140"/>
      <c r="N2" s="140"/>
      <c r="O2" s="140"/>
      <c r="P2" s="140"/>
      <c r="Q2" s="140"/>
      <c r="R2" s="140"/>
      <c r="S2" s="141"/>
      <c r="T2" s="140"/>
      <c r="U2" s="142"/>
    </row>
    <row r="3" spans="2:22" ht="30.75" customHeight="1" thickBot="1" x14ac:dyDescent="0.25">
      <c r="B3" s="143"/>
      <c r="C3" s="173"/>
      <c r="D3" s="768" t="s">
        <v>228</v>
      </c>
      <c r="E3" s="768"/>
      <c r="F3" s="768"/>
      <c r="G3" s="387"/>
      <c r="H3" s="387"/>
      <c r="I3" s="387"/>
      <c r="J3" s="387"/>
      <c r="K3" s="387"/>
      <c r="L3" s="387"/>
      <c r="M3" s="387"/>
      <c r="N3" s="387"/>
      <c r="O3" s="387"/>
      <c r="P3" s="387"/>
      <c r="Q3" s="387"/>
      <c r="R3" s="387"/>
      <c r="S3" s="387"/>
      <c r="T3" s="387"/>
      <c r="U3" s="144"/>
    </row>
    <row r="4" spans="2:22" ht="30.75" customHeight="1" thickBot="1" x14ac:dyDescent="0.3">
      <c r="B4" s="143"/>
      <c r="C4" s="173"/>
      <c r="D4" s="769" t="s">
        <v>457</v>
      </c>
      <c r="E4" s="769"/>
      <c r="F4" s="770"/>
      <c r="G4" s="761" t="s">
        <v>44</v>
      </c>
      <c r="H4" s="763"/>
      <c r="I4" s="763"/>
      <c r="J4" s="763"/>
      <c r="K4" s="763"/>
      <c r="L4" s="763"/>
      <c r="M4" s="763"/>
      <c r="N4" s="295"/>
      <c r="O4" s="295"/>
      <c r="P4" s="295"/>
      <c r="Q4" s="295"/>
      <c r="R4" s="295"/>
      <c r="S4" s="461"/>
      <c r="T4" s="461"/>
      <c r="U4" s="460"/>
    </row>
    <row r="5" spans="2:22" s="147" customFormat="1" ht="28.5" customHeight="1" thickBot="1" x14ac:dyDescent="0.3">
      <c r="B5" s="145"/>
      <c r="C5" s="771" t="s">
        <v>214</v>
      </c>
      <c r="D5" s="772"/>
      <c r="E5" s="772"/>
      <c r="F5" s="773"/>
      <c r="G5" s="761" t="s">
        <v>36</v>
      </c>
      <c r="H5" s="762"/>
      <c r="I5" s="758" t="s">
        <v>7</v>
      </c>
      <c r="J5" s="759"/>
      <c r="K5" s="759"/>
      <c r="L5" s="759"/>
      <c r="M5" s="759"/>
      <c r="N5" s="760"/>
      <c r="O5" s="761" t="s">
        <v>13</v>
      </c>
      <c r="P5" s="763"/>
      <c r="Q5" s="763"/>
      <c r="R5" s="764"/>
      <c r="S5" s="765" t="s">
        <v>14</v>
      </c>
      <c r="T5" s="766"/>
      <c r="U5" s="767"/>
    </row>
    <row r="6" spans="2:22" s="158" customFormat="1" ht="108" customHeight="1" thickBot="1" x14ac:dyDescent="0.25">
      <c r="B6" s="148"/>
      <c r="C6" s="316" t="s">
        <v>494</v>
      </c>
      <c r="D6" s="316" t="s">
        <v>495</v>
      </c>
      <c r="E6" s="149" t="s">
        <v>210</v>
      </c>
      <c r="F6" s="149" t="s">
        <v>213</v>
      </c>
      <c r="G6" s="618" t="s">
        <v>211</v>
      </c>
      <c r="H6" s="618" t="s">
        <v>230</v>
      </c>
      <c r="I6" s="619" t="s">
        <v>37</v>
      </c>
      <c r="J6" s="463" t="s">
        <v>38</v>
      </c>
      <c r="K6" s="463" t="s">
        <v>39</v>
      </c>
      <c r="L6" s="463" t="s">
        <v>43</v>
      </c>
      <c r="M6" s="463" t="s">
        <v>40</v>
      </c>
      <c r="N6" s="154" t="s">
        <v>45</v>
      </c>
      <c r="O6" s="462" t="s">
        <v>12</v>
      </c>
      <c r="P6" s="463" t="s">
        <v>8</v>
      </c>
      <c r="Q6" s="463" t="s">
        <v>9</v>
      </c>
      <c r="R6" s="463" t="s">
        <v>10</v>
      </c>
      <c r="S6" s="457" t="s">
        <v>11</v>
      </c>
      <c r="T6" s="458" t="s">
        <v>15</v>
      </c>
      <c r="U6" s="459" t="s">
        <v>1</v>
      </c>
      <c r="V6" s="157"/>
    </row>
    <row r="7" spans="2:22" s="571" customFormat="1" ht="28.5" x14ac:dyDescent="0.2">
      <c r="C7" s="571" t="s">
        <v>109</v>
      </c>
      <c r="D7" s="626" t="s">
        <v>782</v>
      </c>
      <c r="E7" s="627" t="s">
        <v>783</v>
      </c>
      <c r="F7" s="654" t="s">
        <v>239</v>
      </c>
      <c r="G7" s="621" t="s">
        <v>255</v>
      </c>
      <c r="H7" s="620">
        <v>40026</v>
      </c>
      <c r="I7" s="575">
        <v>135974</v>
      </c>
      <c r="J7" s="581"/>
      <c r="K7" s="581"/>
      <c r="L7" s="581"/>
      <c r="M7" s="581"/>
      <c r="N7" s="579"/>
      <c r="O7" s="583">
        <v>46266</v>
      </c>
      <c r="P7" s="584">
        <v>114495</v>
      </c>
      <c r="Q7" s="584">
        <v>0</v>
      </c>
      <c r="R7" s="584">
        <v>68229</v>
      </c>
      <c r="S7" s="588">
        <f>P7-R7</f>
        <v>46266</v>
      </c>
      <c r="T7" s="603" t="s">
        <v>784</v>
      </c>
      <c r="U7" s="604" t="s">
        <v>785</v>
      </c>
    </row>
    <row r="8" spans="2:22" s="571" customFormat="1" ht="57.75" thickBot="1" x14ac:dyDescent="0.25">
      <c r="C8" s="571" t="s">
        <v>109</v>
      </c>
      <c r="D8" s="626" t="s">
        <v>782</v>
      </c>
      <c r="E8" s="597" t="s">
        <v>786</v>
      </c>
      <c r="F8" s="655" t="s">
        <v>241</v>
      </c>
      <c r="G8" s="621" t="s">
        <v>255</v>
      </c>
      <c r="H8" s="620">
        <v>40513</v>
      </c>
      <c r="I8" s="575">
        <v>54292</v>
      </c>
      <c r="J8" s="581"/>
      <c r="K8" s="581">
        <v>2248</v>
      </c>
      <c r="L8" s="581"/>
      <c r="M8" s="581"/>
      <c r="N8" s="582"/>
      <c r="O8" s="583">
        <v>13558</v>
      </c>
      <c r="P8" s="595">
        <v>45466</v>
      </c>
      <c r="Q8" s="584">
        <v>0</v>
      </c>
      <c r="R8" s="595">
        <v>17400</v>
      </c>
      <c r="S8" s="580">
        <f>P8-R8</f>
        <v>28066</v>
      </c>
      <c r="T8" s="603" t="s">
        <v>784</v>
      </c>
      <c r="U8" s="613" t="s">
        <v>787</v>
      </c>
    </row>
    <row r="9" spans="2:22" s="571" customFormat="1" ht="59.25" customHeight="1" thickBot="1" x14ac:dyDescent="0.25">
      <c r="C9" s="571" t="s">
        <v>109</v>
      </c>
      <c r="D9" s="626" t="s">
        <v>782</v>
      </c>
      <c r="E9" s="598" t="s">
        <v>788</v>
      </c>
      <c r="F9" s="655" t="s">
        <v>245</v>
      </c>
      <c r="G9" s="621" t="s">
        <v>255</v>
      </c>
      <c r="H9" s="620">
        <v>40513</v>
      </c>
      <c r="I9" s="575">
        <v>124822</v>
      </c>
      <c r="J9" s="581">
        <v>1009</v>
      </c>
      <c r="K9" s="581">
        <v>10998</v>
      </c>
      <c r="L9" s="581"/>
      <c r="M9" s="581"/>
      <c r="N9" s="582"/>
      <c r="O9" s="583">
        <v>48033</v>
      </c>
      <c r="P9" s="596">
        <v>140223</v>
      </c>
      <c r="Q9" s="584">
        <v>0</v>
      </c>
      <c r="R9" s="596">
        <v>42212</v>
      </c>
      <c r="S9" s="588">
        <f>P9-R9</f>
        <v>98011</v>
      </c>
      <c r="T9" s="603" t="s">
        <v>784</v>
      </c>
      <c r="U9" s="613" t="s">
        <v>787</v>
      </c>
    </row>
    <row r="10" spans="2:22" s="571" customFormat="1" ht="43.5" thickBot="1" x14ac:dyDescent="0.25">
      <c r="C10" s="571" t="s">
        <v>109</v>
      </c>
      <c r="D10" s="626" t="s">
        <v>789</v>
      </c>
      <c r="E10" s="627" t="s">
        <v>790</v>
      </c>
      <c r="F10" s="655" t="s">
        <v>245</v>
      </c>
      <c r="G10" s="621" t="s">
        <v>255</v>
      </c>
      <c r="H10" s="620">
        <v>41306</v>
      </c>
      <c r="I10" s="575">
        <v>6719</v>
      </c>
      <c r="J10" s="581">
        <v>8434</v>
      </c>
      <c r="K10" s="581"/>
      <c r="L10" s="581"/>
      <c r="M10" s="581"/>
      <c r="N10" s="582"/>
      <c r="O10" s="583">
        <v>11435</v>
      </c>
      <c r="P10" s="584">
        <v>103659</v>
      </c>
      <c r="Q10" s="584">
        <f>P10-R10</f>
        <v>95109</v>
      </c>
      <c r="R10" s="587">
        <f>5850+2700</f>
        <v>8550</v>
      </c>
      <c r="S10" s="580">
        <f>P10-Q10-R10</f>
        <v>0</v>
      </c>
      <c r="T10" s="606"/>
      <c r="U10" s="613" t="s">
        <v>787</v>
      </c>
    </row>
    <row r="11" spans="2:22" s="571" customFormat="1" ht="28.5" x14ac:dyDescent="0.2">
      <c r="C11" s="571" t="s">
        <v>109</v>
      </c>
      <c r="D11" s="626" t="s">
        <v>789</v>
      </c>
      <c r="E11" s="627" t="s">
        <v>783</v>
      </c>
      <c r="F11" s="654" t="s">
        <v>239</v>
      </c>
      <c r="G11" s="621" t="s">
        <v>255</v>
      </c>
      <c r="H11" s="620">
        <v>40148</v>
      </c>
      <c r="I11" s="575">
        <v>51018</v>
      </c>
      <c r="J11" s="581"/>
      <c r="K11" s="581"/>
      <c r="L11" s="581"/>
      <c r="M11" s="581"/>
      <c r="N11" s="582"/>
      <c r="O11" s="585">
        <v>5673.22</v>
      </c>
      <c r="P11" s="577">
        <v>32687</v>
      </c>
      <c r="Q11" s="577">
        <v>0</v>
      </c>
      <c r="R11" s="577">
        <v>22881</v>
      </c>
      <c r="S11" s="580">
        <f>P11-R11</f>
        <v>9806</v>
      </c>
      <c r="T11" s="605" t="s">
        <v>784</v>
      </c>
      <c r="U11" s="604" t="s">
        <v>785</v>
      </c>
    </row>
    <row r="12" spans="2:22" s="571" customFormat="1" ht="43.5" thickBot="1" x14ac:dyDescent="0.25">
      <c r="C12" s="571" t="s">
        <v>109</v>
      </c>
      <c r="D12" s="626" t="s">
        <v>789</v>
      </c>
      <c r="E12" s="627" t="s">
        <v>791</v>
      </c>
      <c r="F12" s="655" t="s">
        <v>233</v>
      </c>
      <c r="G12" s="621" t="s">
        <v>255</v>
      </c>
      <c r="H12" s="620">
        <v>40148</v>
      </c>
      <c r="I12" s="575">
        <f>1007/0.003413</f>
        <v>295048.34456489893</v>
      </c>
      <c r="J12" s="581"/>
      <c r="K12" s="581"/>
      <c r="L12" s="581"/>
      <c r="M12" s="581"/>
      <c r="N12" s="582"/>
      <c r="O12" s="585">
        <v>10000</v>
      </c>
      <c r="P12" s="577">
        <v>30000</v>
      </c>
      <c r="Q12" s="577">
        <v>0</v>
      </c>
      <c r="R12" s="577">
        <v>0</v>
      </c>
      <c r="S12" s="580">
        <v>30000</v>
      </c>
      <c r="T12" s="605" t="s">
        <v>784</v>
      </c>
      <c r="U12" s="604" t="s">
        <v>792</v>
      </c>
    </row>
    <row r="13" spans="2:22" s="571" customFormat="1" ht="30" customHeight="1" thickBot="1" x14ac:dyDescent="0.25">
      <c r="C13" s="571" t="s">
        <v>109</v>
      </c>
      <c r="D13" s="626" t="s">
        <v>789</v>
      </c>
      <c r="E13" s="599" t="s">
        <v>793</v>
      </c>
      <c r="F13" s="655" t="s">
        <v>241</v>
      </c>
      <c r="G13" s="621" t="s">
        <v>255</v>
      </c>
      <c r="H13" s="620">
        <v>40513</v>
      </c>
      <c r="I13" s="575">
        <v>35626</v>
      </c>
      <c r="J13" s="581"/>
      <c r="K13" s="581"/>
      <c r="L13" s="581"/>
      <c r="M13" s="581"/>
      <c r="N13" s="582"/>
      <c r="O13" s="585">
        <v>4988</v>
      </c>
      <c r="P13" s="577">
        <v>53199</v>
      </c>
      <c r="Q13" s="577">
        <v>0</v>
      </c>
      <c r="R13" s="577">
        <v>18300</v>
      </c>
      <c r="S13" s="580">
        <f>P13-R13</f>
        <v>34899</v>
      </c>
      <c r="T13" s="605" t="s">
        <v>784</v>
      </c>
      <c r="U13" s="613" t="s">
        <v>787</v>
      </c>
    </row>
    <row r="14" spans="2:22" s="592" customFormat="1" ht="36.75" customHeight="1" x14ac:dyDescent="0.25">
      <c r="C14" s="571" t="s">
        <v>109</v>
      </c>
      <c r="D14" s="628" t="s">
        <v>794</v>
      </c>
      <c r="E14" s="629" t="s">
        <v>783</v>
      </c>
      <c r="F14" s="654" t="s">
        <v>239</v>
      </c>
      <c r="G14" s="621" t="s">
        <v>255</v>
      </c>
      <c r="H14" s="620">
        <v>40452</v>
      </c>
      <c r="I14" s="575">
        <v>38967</v>
      </c>
      <c r="J14" s="575"/>
      <c r="K14" s="575"/>
      <c r="L14" s="575"/>
      <c r="M14" s="575"/>
      <c r="N14" s="579"/>
      <c r="O14" s="578">
        <v>4318</v>
      </c>
      <c r="P14" s="577">
        <v>22510</v>
      </c>
      <c r="Q14" s="577">
        <v>0</v>
      </c>
      <c r="R14" s="577">
        <v>15757</v>
      </c>
      <c r="S14" s="580">
        <f>P14-R14</f>
        <v>6753</v>
      </c>
      <c r="T14" s="608" t="s">
        <v>784</v>
      </c>
      <c r="U14" s="611" t="s">
        <v>795</v>
      </c>
    </row>
    <row r="15" spans="2:22" s="592" customFormat="1" ht="39" thickBot="1" x14ac:dyDescent="0.3">
      <c r="C15" s="571" t="s">
        <v>109</v>
      </c>
      <c r="D15" s="626" t="s">
        <v>58</v>
      </c>
      <c r="E15" s="627" t="s">
        <v>799</v>
      </c>
      <c r="F15" s="655" t="s">
        <v>233</v>
      </c>
      <c r="G15" s="621" t="s">
        <v>255</v>
      </c>
      <c r="H15" s="660">
        <v>41395</v>
      </c>
      <c r="I15" s="575"/>
      <c r="J15" s="590">
        <v>584</v>
      </c>
      <c r="K15" s="575"/>
      <c r="L15" s="575"/>
      <c r="M15" s="575"/>
      <c r="N15" s="579"/>
      <c r="O15" s="591">
        <v>1000</v>
      </c>
      <c r="P15" s="589">
        <v>21925</v>
      </c>
      <c r="Q15" s="577">
        <v>19925</v>
      </c>
      <c r="R15" s="589">
        <v>2000</v>
      </c>
      <c r="S15" s="580">
        <f>P15-Q15-R15</f>
        <v>0</v>
      </c>
      <c r="T15" s="606"/>
      <c r="U15" s="586" t="s">
        <v>820</v>
      </c>
    </row>
    <row r="16" spans="2:22" s="571" customFormat="1" ht="29.25" thickBot="1" x14ac:dyDescent="0.25">
      <c r="C16" s="571" t="s">
        <v>109</v>
      </c>
      <c r="D16" s="626" t="s">
        <v>800</v>
      </c>
      <c r="E16" s="629" t="s">
        <v>801</v>
      </c>
      <c r="F16" s="655" t="s">
        <v>233</v>
      </c>
      <c r="G16" s="621" t="s">
        <v>255</v>
      </c>
      <c r="H16" s="643">
        <v>40909</v>
      </c>
      <c r="I16" s="590"/>
      <c r="J16" s="575">
        <v>1427</v>
      </c>
      <c r="K16" s="590"/>
      <c r="L16" s="590"/>
      <c r="M16" s="590"/>
      <c r="N16" s="593"/>
      <c r="O16" s="578">
        <v>2828</v>
      </c>
      <c r="P16" s="577">
        <v>11959</v>
      </c>
      <c r="Q16" s="577">
        <f>P16-1500</f>
        <v>10459</v>
      </c>
      <c r="R16" s="577">
        <v>1500</v>
      </c>
      <c r="S16" s="580">
        <f>P16-Q16-R16</f>
        <v>0</v>
      </c>
      <c r="T16" s="606"/>
      <c r="U16" s="586" t="s">
        <v>797</v>
      </c>
    </row>
    <row r="17" spans="1:21" s="592" customFormat="1" ht="28.5" x14ac:dyDescent="0.25">
      <c r="C17" s="571" t="s">
        <v>109</v>
      </c>
      <c r="D17" s="628" t="s">
        <v>803</v>
      </c>
      <c r="E17" s="629" t="s">
        <v>783</v>
      </c>
      <c r="F17" s="654" t="s">
        <v>239</v>
      </c>
      <c r="G17" s="621" t="s">
        <v>255</v>
      </c>
      <c r="H17" s="643">
        <v>40909</v>
      </c>
      <c r="I17" s="575">
        <f>4408+9964</f>
        <v>14372</v>
      </c>
      <c r="J17" s="575"/>
      <c r="K17" s="590"/>
      <c r="L17" s="590"/>
      <c r="M17" s="590"/>
      <c r="N17" s="593"/>
      <c r="O17" s="591">
        <f>490+1108</f>
        <v>1598</v>
      </c>
      <c r="P17" s="589">
        <f>1500.98+2205.44</f>
        <v>3706.42</v>
      </c>
      <c r="Q17" s="589">
        <v>0</v>
      </c>
      <c r="R17" s="589">
        <f>1118.23+1643.05</f>
        <v>2761.2799999999997</v>
      </c>
      <c r="S17" s="594">
        <f>P17-R17</f>
        <v>945.14000000000033</v>
      </c>
      <c r="T17" s="608" t="s">
        <v>784</v>
      </c>
      <c r="U17" s="612" t="s">
        <v>804</v>
      </c>
    </row>
    <row r="18" spans="1:21" s="574" customFormat="1" ht="29.25" thickBot="1" x14ac:dyDescent="0.25">
      <c r="C18" s="574" t="s">
        <v>109</v>
      </c>
      <c r="D18" s="646" t="s">
        <v>806</v>
      </c>
      <c r="E18" s="668" t="s">
        <v>829</v>
      </c>
      <c r="F18" s="675" t="s">
        <v>233</v>
      </c>
      <c r="G18" s="664" t="s">
        <v>255</v>
      </c>
      <c r="H18" s="665">
        <v>41518</v>
      </c>
      <c r="I18" s="590"/>
      <c r="J18" s="590">
        <v>890</v>
      </c>
      <c r="K18" s="590"/>
      <c r="L18" s="590"/>
      <c r="M18" s="590"/>
      <c r="N18" s="593"/>
      <c r="O18" s="591">
        <v>5749</v>
      </c>
      <c r="P18" s="589">
        <v>33721</v>
      </c>
      <c r="Q18" s="589">
        <v>0</v>
      </c>
      <c r="R18" s="589">
        <v>2000</v>
      </c>
      <c r="S18" s="594">
        <f>P18</f>
        <v>33721</v>
      </c>
      <c r="T18" s="652" t="s">
        <v>784</v>
      </c>
      <c r="U18" s="663" t="s">
        <v>835</v>
      </c>
    </row>
    <row r="19" spans="1:21" s="573" customFormat="1" ht="30.75" thickBot="1" x14ac:dyDescent="0.3">
      <c r="C19" s="573" t="s">
        <v>109</v>
      </c>
      <c r="D19" s="648" t="s">
        <v>819</v>
      </c>
      <c r="E19" s="669" t="s">
        <v>821</v>
      </c>
      <c r="F19" s="674" t="s">
        <v>241</v>
      </c>
      <c r="G19" s="666" t="s">
        <v>255</v>
      </c>
      <c r="H19" s="667">
        <v>41791</v>
      </c>
      <c r="I19" s="647">
        <v>4846</v>
      </c>
      <c r="J19" s="647"/>
      <c r="K19" s="647"/>
      <c r="L19" s="647"/>
      <c r="M19" s="647"/>
      <c r="N19" s="671"/>
      <c r="O19" s="649">
        <v>775</v>
      </c>
      <c r="P19" s="650">
        <v>14053</v>
      </c>
      <c r="Q19" s="650">
        <v>11653</v>
      </c>
      <c r="R19" s="650">
        <v>2400</v>
      </c>
      <c r="S19" s="672">
        <v>0</v>
      </c>
      <c r="T19" s="608"/>
      <c r="U19" s="663" t="s">
        <v>833</v>
      </c>
    </row>
    <row r="20" spans="1:21" s="573" customFormat="1" ht="36.75" customHeight="1" thickBot="1" x14ac:dyDescent="0.3">
      <c r="C20" s="573" t="s">
        <v>109</v>
      </c>
      <c r="D20" s="651" t="s">
        <v>819</v>
      </c>
      <c r="E20" s="657" t="s">
        <v>834</v>
      </c>
      <c r="F20" s="674" t="s">
        <v>241</v>
      </c>
      <c r="G20" s="666" t="s">
        <v>255</v>
      </c>
      <c r="H20" s="667">
        <v>41791</v>
      </c>
      <c r="I20" s="647">
        <v>4785</v>
      </c>
      <c r="J20" s="647"/>
      <c r="K20" s="647"/>
      <c r="L20" s="647"/>
      <c r="M20" s="647"/>
      <c r="N20" s="671"/>
      <c r="O20" s="649">
        <v>766</v>
      </c>
      <c r="P20" s="650">
        <v>8352</v>
      </c>
      <c r="Q20" s="650">
        <v>4902</v>
      </c>
      <c r="R20" s="650">
        <v>3450</v>
      </c>
      <c r="S20" s="672">
        <v>0</v>
      </c>
      <c r="T20" s="608"/>
      <c r="U20" s="663" t="s">
        <v>833</v>
      </c>
    </row>
    <row r="21" spans="1:21" s="573" customFormat="1" ht="30" customHeight="1" x14ac:dyDescent="0.25">
      <c r="C21" s="573" t="s">
        <v>109</v>
      </c>
      <c r="D21" s="648" t="s">
        <v>782</v>
      </c>
      <c r="E21" s="670" t="s">
        <v>823</v>
      </c>
      <c r="F21" s="657" t="s">
        <v>825</v>
      </c>
      <c r="G21" s="658" t="s">
        <v>257</v>
      </c>
      <c r="H21" s="659" t="s">
        <v>817</v>
      </c>
      <c r="I21" s="647">
        <v>41940</v>
      </c>
      <c r="J21" s="647"/>
      <c r="K21" s="647"/>
      <c r="L21" s="647"/>
      <c r="M21" s="647"/>
      <c r="N21" s="671"/>
      <c r="O21" s="649">
        <v>6291</v>
      </c>
      <c r="P21" s="650">
        <v>40025</v>
      </c>
      <c r="Q21" s="650">
        <v>0</v>
      </c>
      <c r="R21" s="650">
        <v>10485</v>
      </c>
      <c r="S21" s="594">
        <f>P21-R21</f>
        <v>29540</v>
      </c>
      <c r="T21" s="652" t="s">
        <v>784</v>
      </c>
      <c r="U21" s="663" t="s">
        <v>833</v>
      </c>
    </row>
    <row r="22" spans="1:21" s="573" customFormat="1" ht="30" x14ac:dyDescent="0.25">
      <c r="C22" s="573" t="s">
        <v>109</v>
      </c>
      <c r="D22" s="648" t="s">
        <v>782</v>
      </c>
      <c r="E22" s="670" t="s">
        <v>822</v>
      </c>
      <c r="F22" s="657" t="s">
        <v>239</v>
      </c>
      <c r="G22" s="658" t="s">
        <v>257</v>
      </c>
      <c r="H22" s="659" t="s">
        <v>824</v>
      </c>
      <c r="I22" s="647">
        <v>14975</v>
      </c>
      <c r="J22" s="647"/>
      <c r="K22" s="647"/>
      <c r="L22" s="647"/>
      <c r="M22" s="647"/>
      <c r="N22" s="671"/>
      <c r="O22" s="649">
        <v>2246</v>
      </c>
      <c r="P22" s="650">
        <v>18877</v>
      </c>
      <c r="Q22" s="650">
        <f>P22-R22</f>
        <v>16077</v>
      </c>
      <c r="R22" s="650">
        <v>2800</v>
      </c>
      <c r="S22" s="672">
        <v>0</v>
      </c>
      <c r="T22" s="606"/>
      <c r="U22" s="663" t="s">
        <v>833</v>
      </c>
    </row>
    <row r="23" spans="1:21" s="574" customFormat="1" ht="29.25" thickBot="1" x14ac:dyDescent="0.25">
      <c r="C23" s="574" t="s">
        <v>109</v>
      </c>
      <c r="D23" s="646" t="s">
        <v>807</v>
      </c>
      <c r="E23" s="668" t="s">
        <v>818</v>
      </c>
      <c r="F23" s="675" t="s">
        <v>233</v>
      </c>
      <c r="G23" s="653" t="s">
        <v>257</v>
      </c>
      <c r="H23" s="624" t="s">
        <v>817</v>
      </c>
      <c r="I23" s="590"/>
      <c r="J23" s="590">
        <v>770</v>
      </c>
      <c r="K23" s="590"/>
      <c r="L23" s="590"/>
      <c r="M23" s="590"/>
      <c r="N23" s="593"/>
      <c r="O23" s="591">
        <v>1717</v>
      </c>
      <c r="P23" s="589">
        <v>20000</v>
      </c>
      <c r="Q23" s="589">
        <v>20000</v>
      </c>
      <c r="R23" s="589">
        <v>0</v>
      </c>
      <c r="S23" s="594"/>
      <c r="T23" s="608"/>
      <c r="U23" s="610" t="s">
        <v>836</v>
      </c>
    </row>
    <row r="24" spans="1:21" s="573" customFormat="1" ht="30.75" thickBot="1" x14ac:dyDescent="0.3">
      <c r="C24" s="573" t="s">
        <v>109</v>
      </c>
      <c r="D24" s="673" t="s">
        <v>828</v>
      </c>
      <c r="E24" s="670" t="s">
        <v>827</v>
      </c>
      <c r="F24" s="674" t="s">
        <v>240</v>
      </c>
      <c r="G24" s="658" t="s">
        <v>257</v>
      </c>
      <c r="H24" s="659" t="s">
        <v>817</v>
      </c>
      <c r="I24" s="647">
        <v>65105</v>
      </c>
      <c r="J24" s="647">
        <v>4823</v>
      </c>
      <c r="K24" s="647"/>
      <c r="L24" s="647"/>
      <c r="M24" s="647"/>
      <c r="N24" s="671"/>
      <c r="O24" s="649">
        <v>14964</v>
      </c>
      <c r="P24" s="650">
        <v>60590</v>
      </c>
      <c r="Q24" s="650">
        <f>P24-R24</f>
        <v>52090</v>
      </c>
      <c r="R24" s="650">
        <v>8500</v>
      </c>
      <c r="S24" s="672">
        <v>0</v>
      </c>
      <c r="T24" s="608"/>
      <c r="U24" s="663" t="s">
        <v>832</v>
      </c>
    </row>
    <row r="25" spans="1:21" s="571" customFormat="1" ht="24" customHeight="1" thickBot="1" x14ac:dyDescent="0.25">
      <c r="A25" s="574"/>
      <c r="B25" s="574"/>
      <c r="C25" s="571" t="s">
        <v>109</v>
      </c>
      <c r="D25" s="630" t="s">
        <v>819</v>
      </c>
      <c r="E25" s="600" t="s">
        <v>796</v>
      </c>
      <c r="F25" s="655" t="s">
        <v>245</v>
      </c>
      <c r="G25" s="645" t="s">
        <v>257</v>
      </c>
      <c r="H25" s="622" t="s">
        <v>816</v>
      </c>
      <c r="I25" s="575">
        <v>4654</v>
      </c>
      <c r="J25" s="575">
        <v>2284</v>
      </c>
      <c r="K25" s="575"/>
      <c r="L25" s="590"/>
      <c r="M25" s="590"/>
      <c r="N25" s="593"/>
      <c r="O25" s="578">
        <v>5209</v>
      </c>
      <c r="P25" s="577">
        <v>15000</v>
      </c>
      <c r="Q25" s="577">
        <v>0</v>
      </c>
      <c r="R25" s="577">
        <v>0</v>
      </c>
      <c r="S25" s="580">
        <v>0</v>
      </c>
      <c r="T25" s="606"/>
      <c r="U25" s="586" t="s">
        <v>797</v>
      </c>
    </row>
    <row r="26" spans="1:21" s="572" customFormat="1" ht="29.25" thickBot="1" x14ac:dyDescent="0.25">
      <c r="A26" s="661"/>
      <c r="B26" s="661"/>
      <c r="C26" s="571" t="s">
        <v>109</v>
      </c>
      <c r="D26" s="626" t="s">
        <v>58</v>
      </c>
      <c r="E26" s="629" t="s">
        <v>798</v>
      </c>
      <c r="F26" s="655" t="s">
        <v>245</v>
      </c>
      <c r="G26" s="645" t="s">
        <v>257</v>
      </c>
      <c r="H26" s="622" t="s">
        <v>816</v>
      </c>
      <c r="I26" s="575">
        <v>40471</v>
      </c>
      <c r="J26" s="575">
        <v>2802</v>
      </c>
      <c r="K26" s="575"/>
      <c r="L26" s="590"/>
      <c r="M26" s="590"/>
      <c r="N26" s="593"/>
      <c r="O26" s="578">
        <v>11490</v>
      </c>
      <c r="P26" s="577">
        <v>27000</v>
      </c>
      <c r="Q26" s="577">
        <v>27000</v>
      </c>
      <c r="R26" s="577">
        <v>0</v>
      </c>
      <c r="S26" s="580">
        <f>P26-Q26-R26</f>
        <v>0</v>
      </c>
      <c r="T26" s="606"/>
      <c r="U26" s="586" t="s">
        <v>797</v>
      </c>
    </row>
    <row r="27" spans="1:21" s="662" customFormat="1" ht="15" x14ac:dyDescent="0.25">
      <c r="C27" s="573" t="s">
        <v>109</v>
      </c>
      <c r="D27" s="648" t="s">
        <v>58</v>
      </c>
      <c r="E27" s="657" t="s">
        <v>825</v>
      </c>
      <c r="F27" s="657" t="s">
        <v>825</v>
      </c>
      <c r="G27" s="658" t="s">
        <v>257</v>
      </c>
      <c r="H27" s="676" t="s">
        <v>826</v>
      </c>
      <c r="I27" s="647">
        <v>6912</v>
      </c>
      <c r="J27" s="647"/>
      <c r="K27" s="647"/>
      <c r="L27" s="647"/>
      <c r="M27" s="647"/>
      <c r="N27" s="671"/>
      <c r="O27" s="649">
        <v>1175</v>
      </c>
      <c r="P27" s="650">
        <v>7316</v>
      </c>
      <c r="Q27" s="650">
        <v>5589</v>
      </c>
      <c r="R27" s="650">
        <v>1727</v>
      </c>
      <c r="S27" s="672">
        <v>0</v>
      </c>
      <c r="T27" s="608"/>
      <c r="U27" s="663" t="s">
        <v>831</v>
      </c>
    </row>
    <row r="28" spans="1:21" s="662" customFormat="1" ht="15.75" thickBot="1" x14ac:dyDescent="0.3">
      <c r="C28" s="573" t="s">
        <v>109</v>
      </c>
      <c r="D28" s="648" t="s">
        <v>537</v>
      </c>
      <c r="E28" s="657" t="s">
        <v>825</v>
      </c>
      <c r="F28" s="657" t="s">
        <v>825</v>
      </c>
      <c r="G28" s="658" t="s">
        <v>257</v>
      </c>
      <c r="H28" s="676" t="s">
        <v>826</v>
      </c>
      <c r="I28" s="647">
        <v>4327</v>
      </c>
      <c r="J28" s="647"/>
      <c r="K28" s="647"/>
      <c r="L28" s="647"/>
      <c r="M28" s="647"/>
      <c r="N28" s="671"/>
      <c r="O28" s="649">
        <v>736</v>
      </c>
      <c r="P28" s="650">
        <v>3356</v>
      </c>
      <c r="Q28" s="650">
        <v>2274</v>
      </c>
      <c r="R28" s="650">
        <v>1082</v>
      </c>
      <c r="S28" s="672">
        <v>0</v>
      </c>
      <c r="T28" s="608"/>
      <c r="U28" s="663" t="s">
        <v>831</v>
      </c>
    </row>
    <row r="29" spans="1:21" s="571" customFormat="1" ht="15" thickBot="1" x14ac:dyDescent="0.25">
      <c r="C29" s="571" t="s">
        <v>109</v>
      </c>
      <c r="D29" s="626" t="s">
        <v>800</v>
      </c>
      <c r="E29" s="629" t="s">
        <v>802</v>
      </c>
      <c r="F29" s="656" t="s">
        <v>238</v>
      </c>
      <c r="G29" s="645" t="s">
        <v>257</v>
      </c>
      <c r="H29" s="622" t="s">
        <v>816</v>
      </c>
      <c r="I29" s="590"/>
      <c r="J29" s="575">
        <v>745</v>
      </c>
      <c r="K29" s="590"/>
      <c r="L29" s="590"/>
      <c r="M29" s="590"/>
      <c r="N29" s="593"/>
      <c r="O29" s="578">
        <v>1476</v>
      </c>
      <c r="P29" s="577">
        <v>3190</v>
      </c>
      <c r="Q29" s="577">
        <v>3190</v>
      </c>
      <c r="R29" s="577">
        <v>0</v>
      </c>
      <c r="S29" s="580">
        <v>0</v>
      </c>
      <c r="T29" s="606"/>
      <c r="U29" s="586" t="s">
        <v>797</v>
      </c>
    </row>
    <row r="30" spans="1:21" s="574" customFormat="1" ht="39" thickBot="1" x14ac:dyDescent="0.25">
      <c r="C30" s="571" t="s">
        <v>109</v>
      </c>
      <c r="D30" s="625" t="s">
        <v>58</v>
      </c>
      <c r="E30" s="631" t="s">
        <v>810</v>
      </c>
      <c r="F30" s="656" t="s">
        <v>238</v>
      </c>
      <c r="G30" s="645" t="s">
        <v>257</v>
      </c>
      <c r="H30" s="622" t="s">
        <v>816</v>
      </c>
      <c r="I30" s="590"/>
      <c r="J30" s="590">
        <v>600</v>
      </c>
      <c r="K30" s="590"/>
      <c r="L30" s="590"/>
      <c r="M30" s="590"/>
      <c r="N30" s="593"/>
      <c r="O30" s="591">
        <f>5560*0.2</f>
        <v>1112</v>
      </c>
      <c r="P30" s="589">
        <v>5000</v>
      </c>
      <c r="Q30" s="589">
        <v>5000</v>
      </c>
      <c r="R30" s="589">
        <v>0</v>
      </c>
      <c r="S30" s="594">
        <f>P30-Q30</f>
        <v>0</v>
      </c>
      <c r="T30" s="606"/>
      <c r="U30" s="610" t="s">
        <v>811</v>
      </c>
    </row>
    <row r="31" spans="1:21" s="574" customFormat="1" ht="39" thickBot="1" x14ac:dyDescent="0.25">
      <c r="C31" s="571" t="s">
        <v>109</v>
      </c>
      <c r="D31" s="625" t="s">
        <v>812</v>
      </c>
      <c r="E31" s="631" t="s">
        <v>810</v>
      </c>
      <c r="F31" s="656" t="s">
        <v>238</v>
      </c>
      <c r="G31" s="645" t="s">
        <v>257</v>
      </c>
      <c r="H31" s="622" t="s">
        <v>816</v>
      </c>
      <c r="I31" s="590"/>
      <c r="J31" s="590"/>
      <c r="K31" s="590">
        <f>921*0.2</f>
        <v>184.20000000000002</v>
      </c>
      <c r="L31" s="590"/>
      <c r="M31" s="590"/>
      <c r="N31" s="593"/>
      <c r="O31" s="591">
        <v>600</v>
      </c>
      <c r="P31" s="589">
        <v>3000</v>
      </c>
      <c r="Q31" s="589">
        <v>3000</v>
      </c>
      <c r="R31" s="589">
        <v>0</v>
      </c>
      <c r="S31" s="594">
        <f t="shared" ref="S31:S34" si="0">P31-Q31</f>
        <v>0</v>
      </c>
      <c r="T31" s="606"/>
      <c r="U31" s="610" t="s">
        <v>811</v>
      </c>
    </row>
    <row r="32" spans="1:21" s="574" customFormat="1" ht="39" thickBot="1" x14ac:dyDescent="0.25">
      <c r="C32" s="571" t="s">
        <v>109</v>
      </c>
      <c r="D32" s="625" t="s">
        <v>813</v>
      </c>
      <c r="E32" s="631" t="s">
        <v>810</v>
      </c>
      <c r="F32" s="656" t="s">
        <v>238</v>
      </c>
      <c r="G32" s="645" t="s">
        <v>257</v>
      </c>
      <c r="H32" s="622" t="s">
        <v>816</v>
      </c>
      <c r="I32" s="590"/>
      <c r="J32" s="590">
        <v>1800</v>
      </c>
      <c r="K32" s="590"/>
      <c r="L32" s="590"/>
      <c r="N32" s="593"/>
      <c r="O32" s="591">
        <v>1000</v>
      </c>
      <c r="P32" s="589">
        <v>5000</v>
      </c>
      <c r="Q32" s="589">
        <v>5000</v>
      </c>
      <c r="R32" s="589">
        <v>0</v>
      </c>
      <c r="S32" s="594">
        <f t="shared" si="0"/>
        <v>0</v>
      </c>
      <c r="T32" s="606"/>
      <c r="U32" s="610" t="s">
        <v>811</v>
      </c>
    </row>
    <row r="33" spans="2:22" s="574" customFormat="1" ht="39" thickBot="1" x14ac:dyDescent="0.25">
      <c r="C33" s="571" t="s">
        <v>109</v>
      </c>
      <c r="D33" s="625" t="s">
        <v>814</v>
      </c>
      <c r="E33" s="631" t="s">
        <v>810</v>
      </c>
      <c r="F33" s="656" t="s">
        <v>238</v>
      </c>
      <c r="G33" s="645" t="s">
        <v>257</v>
      </c>
      <c r="H33" s="622" t="s">
        <v>816</v>
      </c>
      <c r="I33" s="590"/>
      <c r="J33" s="590"/>
      <c r="K33" s="590">
        <f>942*0.2</f>
        <v>188.4</v>
      </c>
      <c r="L33" s="590"/>
      <c r="M33" s="590"/>
      <c r="N33" s="593"/>
      <c r="O33" s="591">
        <v>600</v>
      </c>
      <c r="P33" s="589">
        <v>3000</v>
      </c>
      <c r="Q33" s="589">
        <v>3000</v>
      </c>
      <c r="R33" s="589">
        <v>0</v>
      </c>
      <c r="S33" s="594">
        <f t="shared" si="0"/>
        <v>0</v>
      </c>
      <c r="T33" s="606"/>
      <c r="U33" s="610" t="s">
        <v>811</v>
      </c>
    </row>
    <row r="34" spans="2:22" s="632" customFormat="1" ht="38.25" x14ac:dyDescent="0.2">
      <c r="C34" s="571" t="s">
        <v>109</v>
      </c>
      <c r="D34" s="633" t="s">
        <v>815</v>
      </c>
      <c r="E34" s="634" t="s">
        <v>810</v>
      </c>
      <c r="G34" s="644" t="s">
        <v>488</v>
      </c>
      <c r="H34" s="635"/>
      <c r="I34" s="636"/>
      <c r="J34" s="636">
        <f>107*0.2</f>
        <v>21.400000000000002</v>
      </c>
      <c r="K34" s="636">
        <f>1185*0.2</f>
        <v>237</v>
      </c>
      <c r="L34" s="636"/>
      <c r="M34" s="636"/>
      <c r="N34" s="637"/>
      <c r="O34" s="638">
        <f>4303*0.2</f>
        <v>860.6</v>
      </c>
      <c r="P34" s="639">
        <f>O34*5+697</f>
        <v>5000</v>
      </c>
      <c r="Q34" s="639">
        <v>5000</v>
      </c>
      <c r="R34" s="639">
        <v>0</v>
      </c>
      <c r="S34" s="640">
        <f t="shared" si="0"/>
        <v>0</v>
      </c>
      <c r="T34" s="641"/>
      <c r="U34" s="642" t="s">
        <v>811</v>
      </c>
    </row>
    <row r="35" spans="2:22" s="571" customFormat="1" ht="28.5" x14ac:dyDescent="0.2">
      <c r="C35" s="571" t="s">
        <v>109</v>
      </c>
      <c r="D35" s="614" t="s">
        <v>0</v>
      </c>
      <c r="E35" s="601" t="s">
        <v>805</v>
      </c>
      <c r="F35" s="616"/>
      <c r="G35" s="644" t="s">
        <v>488</v>
      </c>
      <c r="H35" s="623"/>
      <c r="I35" s="590"/>
      <c r="J35" s="575"/>
      <c r="K35" s="590"/>
      <c r="L35" s="590"/>
      <c r="M35" s="590"/>
      <c r="N35" s="593"/>
      <c r="O35" s="578"/>
      <c r="P35" s="577"/>
      <c r="Q35" s="577"/>
      <c r="R35" s="577"/>
      <c r="S35" s="580"/>
      <c r="T35" s="608"/>
      <c r="U35" s="607"/>
    </row>
    <row r="36" spans="2:22" s="574" customFormat="1" ht="15" x14ac:dyDescent="0.2">
      <c r="C36" s="571" t="s">
        <v>109</v>
      </c>
      <c r="D36" s="615" t="s">
        <v>808</v>
      </c>
      <c r="E36" s="602" t="s">
        <v>802</v>
      </c>
      <c r="F36" s="617"/>
      <c r="G36" s="644" t="s">
        <v>488</v>
      </c>
      <c r="H36" s="624"/>
      <c r="I36" s="590"/>
      <c r="J36" s="590"/>
      <c r="K36" s="590"/>
      <c r="L36" s="590"/>
      <c r="M36" s="590"/>
      <c r="N36" s="593"/>
      <c r="O36" s="591"/>
      <c r="P36" s="589"/>
      <c r="Q36" s="589"/>
      <c r="R36" s="589"/>
      <c r="S36" s="594"/>
      <c r="T36" s="608"/>
      <c r="U36" s="609"/>
    </row>
    <row r="37" spans="2:22" s="574" customFormat="1" ht="57" x14ac:dyDescent="0.2">
      <c r="C37" s="571" t="s">
        <v>109</v>
      </c>
      <c r="D37" s="615" t="s">
        <v>808</v>
      </c>
      <c r="E37" s="602" t="s">
        <v>809</v>
      </c>
      <c r="F37" s="617"/>
      <c r="G37" s="644" t="s">
        <v>488</v>
      </c>
      <c r="H37" s="624"/>
      <c r="I37" s="590"/>
      <c r="J37" s="590"/>
      <c r="K37" s="590"/>
      <c r="L37" s="590"/>
      <c r="M37" s="590"/>
      <c r="N37" s="593"/>
      <c r="O37" s="591"/>
      <c r="P37" s="589"/>
      <c r="Q37" s="589"/>
      <c r="R37" s="589"/>
      <c r="S37" s="594"/>
      <c r="T37" s="608"/>
      <c r="U37" s="609"/>
    </row>
    <row r="38" spans="2:22" ht="41.25" customHeight="1" thickBot="1" x14ac:dyDescent="0.25">
      <c r="B38" s="143"/>
      <c r="C38" s="143"/>
      <c r="E38" s="447"/>
      <c r="F38" s="447"/>
      <c r="G38" s="448"/>
      <c r="H38" s="449" t="s">
        <v>6</v>
      </c>
      <c r="I38" s="576">
        <f>SUM(I7:I37)</f>
        <v>944853.34456489887</v>
      </c>
      <c r="J38" s="576">
        <f t="shared" ref="J38:S38" si="1">SUM(J7:J37)</f>
        <v>26189.4</v>
      </c>
      <c r="K38" s="296">
        <f t="shared" si="1"/>
        <v>13855.6</v>
      </c>
      <c r="L38" s="296">
        <f t="shared" si="1"/>
        <v>0</v>
      </c>
      <c r="M38" s="296">
        <f t="shared" si="1"/>
        <v>0</v>
      </c>
      <c r="N38" s="576">
        <f t="shared" si="1"/>
        <v>0</v>
      </c>
      <c r="O38" s="576">
        <f t="shared" si="1"/>
        <v>206463.82</v>
      </c>
      <c r="P38" s="576">
        <f t="shared" si="1"/>
        <v>852309.42</v>
      </c>
      <c r="Q38" s="576">
        <f t="shared" si="1"/>
        <v>289268</v>
      </c>
      <c r="R38" s="576">
        <f t="shared" si="1"/>
        <v>232034.28</v>
      </c>
      <c r="S38" s="576">
        <f t="shared" si="1"/>
        <v>318007.14</v>
      </c>
      <c r="T38" s="160"/>
      <c r="U38" s="144"/>
    </row>
    <row r="39" spans="2:22" ht="34.5" customHeight="1" thickBot="1" x14ac:dyDescent="0.3">
      <c r="B39" s="143"/>
      <c r="C39" s="143"/>
      <c r="D39" s="755" t="s">
        <v>35</v>
      </c>
      <c r="E39" s="756"/>
      <c r="F39" s="757"/>
      <c r="G39" s="450">
        <f>SUM(I39:N39)</f>
        <v>7768.7080116554353</v>
      </c>
      <c r="H39" s="292"/>
      <c r="I39" s="292">
        <f>I38*0.003412</f>
        <v>3223.839611655435</v>
      </c>
      <c r="J39" s="293">
        <f>J38*0.1</f>
        <v>2618.9400000000005</v>
      </c>
      <c r="K39" s="293">
        <f>K38*0.139</f>
        <v>1925.9284000000002</v>
      </c>
      <c r="L39" s="293">
        <f>L38*0.091</f>
        <v>0</v>
      </c>
      <c r="M39" s="293">
        <f>M38*0.124</f>
        <v>0</v>
      </c>
      <c r="N39" s="294">
        <f>N38*0.139</f>
        <v>0</v>
      </c>
      <c r="O39" s="161"/>
      <c r="P39" s="160"/>
      <c r="Q39" s="160"/>
      <c r="R39" s="160"/>
      <c r="S39" s="162"/>
      <c r="T39" s="160"/>
      <c r="U39" s="144"/>
    </row>
    <row r="40" spans="2:22" ht="15" thickBot="1" x14ac:dyDescent="0.25">
      <c r="B40" s="163"/>
      <c r="C40" s="164"/>
      <c r="D40" s="164"/>
      <c r="E40" s="164"/>
      <c r="F40" s="164" t="s">
        <v>867</v>
      </c>
      <c r="G40" s="694">
        <f>G39/'Crit 3 - Yr6 Table  2 Progress'!I13</f>
        <v>0.33426737281766855</v>
      </c>
      <c r="H40" s="164"/>
      <c r="I40" s="164"/>
      <c r="J40" s="164"/>
      <c r="K40" s="164"/>
      <c r="L40" s="164"/>
      <c r="M40" s="164"/>
      <c r="N40" s="164"/>
      <c r="O40" s="164"/>
      <c r="P40" s="164"/>
      <c r="Q40" s="164"/>
      <c r="R40" s="164"/>
      <c r="S40" s="165"/>
      <c r="T40" s="164"/>
      <c r="U40" s="166"/>
    </row>
    <row r="41" spans="2:22" ht="15" thickBot="1" x14ac:dyDescent="0.25"/>
    <row r="42" spans="2:22" ht="39.75" customHeight="1" x14ac:dyDescent="0.2">
      <c r="B42" s="143"/>
      <c r="C42" s="338" t="s">
        <v>452</v>
      </c>
      <c r="D42" s="338" t="s">
        <v>452</v>
      </c>
      <c r="E42" s="329"/>
      <c r="F42" s="329"/>
      <c r="G42" s="329" t="s">
        <v>257</v>
      </c>
      <c r="H42" s="456"/>
      <c r="I42" s="330"/>
      <c r="J42" s="331"/>
      <c r="K42" s="331"/>
      <c r="L42" s="331"/>
      <c r="M42" s="331"/>
      <c r="N42" s="453"/>
      <c r="O42" s="454"/>
      <c r="P42" s="332"/>
      <c r="Q42" s="332"/>
      <c r="R42" s="332"/>
      <c r="S42" s="333"/>
      <c r="T42" s="334"/>
      <c r="U42" s="455"/>
      <c r="V42" s="144"/>
    </row>
    <row r="43" spans="2:22" ht="15" thickBot="1" x14ac:dyDescent="0.25"/>
    <row r="44" spans="2:22" ht="19.5" thickBot="1" x14ac:dyDescent="0.25">
      <c r="C44" s="137" t="s">
        <v>109</v>
      </c>
      <c r="F44" s="29" t="s">
        <v>243</v>
      </c>
      <c r="G44" s="29" t="s">
        <v>255</v>
      </c>
    </row>
    <row r="45" spans="2:22" ht="19.5" thickBot="1" x14ac:dyDescent="0.25">
      <c r="C45" s="137" t="s">
        <v>112</v>
      </c>
      <c r="F45" s="27" t="s">
        <v>245</v>
      </c>
      <c r="G45" s="27" t="s">
        <v>256</v>
      </c>
    </row>
    <row r="46" spans="2:22" ht="19.5" thickBot="1" x14ac:dyDescent="0.25">
      <c r="C46" s="137" t="s">
        <v>830</v>
      </c>
      <c r="F46" s="27" t="s">
        <v>254</v>
      </c>
      <c r="G46" s="27" t="s">
        <v>257</v>
      </c>
    </row>
    <row r="47" spans="2:22" ht="19.5" thickBot="1" x14ac:dyDescent="0.25">
      <c r="C47" s="137" t="s">
        <v>42</v>
      </c>
      <c r="F47" s="27" t="s">
        <v>239</v>
      </c>
      <c r="G47" s="27" t="s">
        <v>488</v>
      </c>
    </row>
    <row r="48" spans="2:22" ht="19.5" thickBot="1" x14ac:dyDescent="0.25">
      <c r="F48" s="27" t="s">
        <v>231</v>
      </c>
    </row>
    <row r="49" spans="6:6" ht="19.5" thickBot="1" x14ac:dyDescent="0.25">
      <c r="F49" s="27" t="s">
        <v>232</v>
      </c>
    </row>
    <row r="50" spans="6:6" ht="19.5" thickBot="1" x14ac:dyDescent="0.25">
      <c r="F50" s="27" t="s">
        <v>233</v>
      </c>
    </row>
    <row r="51" spans="6:6" ht="38.25" thickBot="1" x14ac:dyDescent="0.25">
      <c r="F51" s="27" t="s">
        <v>241</v>
      </c>
    </row>
    <row r="52" spans="6:6" ht="19.5" thickBot="1" x14ac:dyDescent="0.25">
      <c r="F52" s="27" t="s">
        <v>235</v>
      </c>
    </row>
    <row r="53" spans="6:6" ht="38.25" thickBot="1" x14ac:dyDescent="0.25">
      <c r="F53" s="27" t="s">
        <v>240</v>
      </c>
    </row>
    <row r="54" spans="6:6" ht="19.5" thickBot="1" x14ac:dyDescent="0.25">
      <c r="F54" s="27" t="s">
        <v>42</v>
      </c>
    </row>
    <row r="55" spans="6:6" ht="19.5" thickBot="1" x14ac:dyDescent="0.25">
      <c r="F55" s="29" t="s">
        <v>238</v>
      </c>
    </row>
    <row r="56" spans="6:6" ht="33.75" customHeight="1" thickBot="1" x14ac:dyDescent="0.25">
      <c r="F56" s="29" t="s">
        <v>486</v>
      </c>
    </row>
    <row r="57" spans="6:6" ht="19.5" thickBot="1" x14ac:dyDescent="0.25">
      <c r="F57" s="29" t="s">
        <v>487</v>
      </c>
    </row>
    <row r="58" spans="6:6" ht="15" customHeight="1" x14ac:dyDescent="0.2"/>
    <row r="59" spans="6:6" x14ac:dyDescent="0.2"/>
    <row r="60" spans="6:6" ht="15" customHeight="1" x14ac:dyDescent="0.2"/>
    <row r="61" spans="6:6" x14ac:dyDescent="0.2"/>
    <row r="62" spans="6:6" ht="15.75" customHeight="1" x14ac:dyDescent="0.2"/>
    <row r="63" spans="6:6" x14ac:dyDescent="0.2"/>
    <row r="64" spans="6:6" ht="15.75" customHeight="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sheetData>
  <mergeCells count="9">
    <mergeCell ref="D3:F3"/>
    <mergeCell ref="G4:M4"/>
    <mergeCell ref="D4:F4"/>
    <mergeCell ref="C5:F5"/>
    <mergeCell ref="D39:F39"/>
    <mergeCell ref="I5:N5"/>
    <mergeCell ref="G5:H5"/>
    <mergeCell ref="O5:R5"/>
    <mergeCell ref="S5:U5"/>
  </mergeCells>
  <phoneticPr fontId="7" type="noConversion"/>
  <dataValidations count="3">
    <dataValidation type="list" allowBlank="1" showInputMessage="1" showErrorMessage="1" sqref="G42">
      <formula1>ECMstatus</formula1>
    </dataValidation>
    <dataValidation type="list" allowBlank="1" showInputMessage="1" showErrorMessage="1" sqref="F42">
      <formula1>ECMs</formula1>
    </dataValidation>
    <dataValidation type="date" allowBlank="1" showInputMessage="1" showErrorMessage="1" error="Users must enter a date (MM/DD/YYYY) in this cell." prompt="Please enter the date of completion or planned date of completion  (MM/DD/YYYY) in this cell." sqref="H42">
      <formula1>36892</formula1>
      <formula2>55153</formula2>
    </dataValidation>
  </dataValidations>
  <pageMargins left="0.5" right="0.5" top="0.5" bottom="0.5" header="0.5" footer="0"/>
  <pageSetup scale="5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8000"/>
    <pageSetUpPr fitToPage="1"/>
  </sheetPr>
  <dimension ref="A1:AB21"/>
  <sheetViews>
    <sheetView showGridLines="0" zoomScale="85" zoomScaleNormal="85" workbookViewId="0">
      <pane xSplit="4" ySplit="6" topLeftCell="E7" activePane="bottomRight" state="frozen"/>
      <selection pane="topRight" activeCell="C1" sqref="C1"/>
      <selection pane="bottomLeft" activeCell="A4" sqref="A4"/>
      <selection pane="bottomRight" activeCell="E11" sqref="E11"/>
    </sheetView>
  </sheetViews>
  <sheetFormatPr defaultColWidth="0" defaultRowHeight="14.25" zeroHeight="1" x14ac:dyDescent="0.2"/>
  <cols>
    <col min="1" max="1" width="4.85546875" style="49" customWidth="1"/>
    <col min="2" max="2" width="3.85546875" style="49" customWidth="1"/>
    <col min="3" max="3" width="25.42578125" style="49" bestFit="1" customWidth="1"/>
    <col min="4" max="5" width="21.5703125" style="49" customWidth="1"/>
    <col min="6" max="7" width="16.5703125" style="49" customWidth="1"/>
    <col min="8" max="8" width="13.42578125" style="49" customWidth="1"/>
    <col min="9" max="9" width="15.42578125" style="64" customWidth="1"/>
    <col min="10" max="13" width="13.5703125" style="49" customWidth="1"/>
    <col min="14" max="14" width="14.140625" style="49" customWidth="1"/>
    <col min="15" max="15" width="13.5703125" style="49" customWidth="1"/>
    <col min="16" max="16" width="15.140625" style="49" customWidth="1"/>
    <col min="17" max="17" width="18.28515625" style="49" bestFit="1" customWidth="1"/>
    <col min="18" max="18" width="17.28515625" style="49" bestFit="1" customWidth="1"/>
    <col min="19" max="19" width="12.85546875" style="65" customWidth="1"/>
    <col min="20" max="20" width="20.42578125" style="49" customWidth="1"/>
    <col min="21" max="22" width="9.140625" style="49" customWidth="1"/>
    <col min="23" max="28" width="0" style="49" hidden="1" customWidth="1"/>
    <col min="29" max="16384" width="9.140625" style="49" hidden="1"/>
  </cols>
  <sheetData>
    <row r="1" spans="2:21" ht="15" thickBot="1" x14ac:dyDescent="0.25"/>
    <row r="2" spans="2:21" x14ac:dyDescent="0.2">
      <c r="B2" s="66"/>
      <c r="C2" s="67"/>
      <c r="D2" s="67"/>
      <c r="E2" s="67"/>
      <c r="F2" s="67"/>
      <c r="G2" s="67"/>
      <c r="H2" s="67"/>
      <c r="I2" s="68"/>
      <c r="J2" s="67"/>
      <c r="K2" s="67"/>
      <c r="L2" s="67"/>
      <c r="M2" s="67"/>
      <c r="N2" s="67"/>
      <c r="O2" s="67"/>
      <c r="P2" s="67"/>
      <c r="Q2" s="67"/>
      <c r="R2" s="67"/>
      <c r="S2" s="69"/>
      <c r="T2" s="67"/>
      <c r="U2" s="70"/>
    </row>
    <row r="3" spans="2:21" ht="15.75" thickBot="1" x14ac:dyDescent="0.25">
      <c r="B3" s="43"/>
      <c r="C3" s="774" t="s">
        <v>456</v>
      </c>
      <c r="D3" s="774"/>
      <c r="E3" s="774"/>
      <c r="F3" s="78"/>
      <c r="G3" s="78"/>
      <c r="H3" s="78"/>
      <c r="I3" s="79"/>
      <c r="J3" s="78"/>
      <c r="K3" s="78"/>
      <c r="L3" s="78"/>
      <c r="M3" s="78"/>
      <c r="N3" s="78"/>
      <c r="O3" s="78"/>
      <c r="P3" s="78"/>
      <c r="Q3" s="78"/>
      <c r="R3" s="78"/>
      <c r="S3" s="80"/>
      <c r="T3" s="78"/>
      <c r="U3" s="44"/>
    </row>
    <row r="4" spans="2:21" ht="35.25" customHeight="1" thickBot="1" x14ac:dyDescent="0.25">
      <c r="B4" s="43"/>
      <c r="C4" s="769" t="s">
        <v>458</v>
      </c>
      <c r="D4" s="769"/>
      <c r="E4" s="769"/>
      <c r="F4" s="792" t="s">
        <v>455</v>
      </c>
      <c r="G4" s="793"/>
      <c r="H4" s="793"/>
      <c r="I4" s="793"/>
      <c r="J4" s="793"/>
      <c r="K4" s="793"/>
      <c r="L4" s="793"/>
      <c r="M4" s="303"/>
      <c r="N4" s="303"/>
      <c r="O4" s="303"/>
      <c r="P4" s="303"/>
      <c r="Q4" s="303"/>
      <c r="R4" s="303"/>
      <c r="S4" s="303"/>
      <c r="T4" s="304"/>
      <c r="U4" s="44"/>
    </row>
    <row r="5" spans="2:21" s="62" customFormat="1" ht="42" customHeight="1" thickBot="1" x14ac:dyDescent="0.3">
      <c r="B5" s="71"/>
      <c r="C5" s="789" t="s">
        <v>214</v>
      </c>
      <c r="D5" s="790"/>
      <c r="E5" s="791"/>
      <c r="F5" s="787" t="s">
        <v>36</v>
      </c>
      <c r="G5" s="788"/>
      <c r="H5" s="784" t="s">
        <v>7</v>
      </c>
      <c r="I5" s="785"/>
      <c r="J5" s="785"/>
      <c r="K5" s="785"/>
      <c r="L5" s="785"/>
      <c r="M5" s="786"/>
      <c r="N5" s="781" t="s">
        <v>13</v>
      </c>
      <c r="O5" s="782"/>
      <c r="P5" s="782"/>
      <c r="Q5" s="782"/>
      <c r="R5" s="783"/>
      <c r="S5" s="305" t="s">
        <v>14</v>
      </c>
      <c r="T5" s="306"/>
      <c r="U5" s="72"/>
    </row>
    <row r="6" spans="2:21" s="63" customFormat="1" ht="111" customHeight="1" thickBot="1" x14ac:dyDescent="0.25">
      <c r="B6" s="73"/>
      <c r="C6" s="316" t="s">
        <v>209</v>
      </c>
      <c r="D6" s="149" t="s">
        <v>210</v>
      </c>
      <c r="E6" s="149" t="s">
        <v>213</v>
      </c>
      <c r="F6" s="167" t="s">
        <v>211</v>
      </c>
      <c r="G6" s="167" t="s">
        <v>230</v>
      </c>
      <c r="H6" s="151" t="s">
        <v>37</v>
      </c>
      <c r="I6" s="152" t="s">
        <v>38</v>
      </c>
      <c r="J6" s="152" t="s">
        <v>39</v>
      </c>
      <c r="K6" s="152" t="s">
        <v>43</v>
      </c>
      <c r="L6" s="152" t="s">
        <v>40</v>
      </c>
      <c r="M6" s="154" t="s">
        <v>45</v>
      </c>
      <c r="N6" s="151" t="s">
        <v>12</v>
      </c>
      <c r="O6" s="152" t="s">
        <v>8</v>
      </c>
      <c r="P6" s="152" t="s">
        <v>9</v>
      </c>
      <c r="Q6" s="152" t="s">
        <v>10</v>
      </c>
      <c r="R6" s="154" t="s">
        <v>11</v>
      </c>
      <c r="S6" s="307" t="s">
        <v>15</v>
      </c>
      <c r="T6" s="308" t="s">
        <v>1</v>
      </c>
      <c r="U6" s="74"/>
    </row>
    <row r="7" spans="2:21" ht="42.75" x14ac:dyDescent="0.2">
      <c r="B7" s="43"/>
      <c r="C7" s="339" t="s">
        <v>215</v>
      </c>
      <c r="D7" s="340" t="s">
        <v>2</v>
      </c>
      <c r="E7" s="341" t="s">
        <v>239</v>
      </c>
      <c r="F7" s="342" t="s">
        <v>255</v>
      </c>
      <c r="G7" s="343">
        <v>40575</v>
      </c>
      <c r="H7" s="344">
        <v>95252</v>
      </c>
      <c r="I7" s="345">
        <v>0</v>
      </c>
      <c r="J7" s="345">
        <v>0</v>
      </c>
      <c r="K7" s="346">
        <v>0</v>
      </c>
      <c r="L7" s="346">
        <v>0</v>
      </c>
      <c r="M7" s="347">
        <v>0</v>
      </c>
      <c r="N7" s="348">
        <v>8000</v>
      </c>
      <c r="O7" s="349">
        <v>25000</v>
      </c>
      <c r="P7" s="349">
        <v>0</v>
      </c>
      <c r="Q7" s="349">
        <v>12500</v>
      </c>
      <c r="R7" s="350">
        <v>12500</v>
      </c>
      <c r="S7" s="351" t="s">
        <v>16</v>
      </c>
      <c r="T7" s="352" t="s">
        <v>17</v>
      </c>
      <c r="U7" s="44"/>
    </row>
    <row r="8" spans="2:21" x14ac:dyDescent="0.2">
      <c r="B8" s="43"/>
      <c r="C8" s="353" t="s">
        <v>0</v>
      </c>
      <c r="D8" s="354" t="s">
        <v>3</v>
      </c>
      <c r="E8" s="355" t="s">
        <v>238</v>
      </c>
      <c r="F8" s="356" t="s">
        <v>256</v>
      </c>
      <c r="G8" s="357">
        <v>41974</v>
      </c>
      <c r="H8" s="358">
        <v>0</v>
      </c>
      <c r="I8" s="359">
        <v>230</v>
      </c>
      <c r="J8" s="359">
        <v>0</v>
      </c>
      <c r="K8" s="360">
        <v>0</v>
      </c>
      <c r="L8" s="360">
        <v>0</v>
      </c>
      <c r="M8" s="361">
        <v>0</v>
      </c>
      <c r="N8" s="362">
        <v>1100</v>
      </c>
      <c r="O8" s="363">
        <v>3500</v>
      </c>
      <c r="P8" s="363">
        <v>1750</v>
      </c>
      <c r="Q8" s="363">
        <v>1750</v>
      </c>
      <c r="R8" s="364">
        <v>0</v>
      </c>
      <c r="S8" s="365" t="s">
        <v>29</v>
      </c>
      <c r="T8" s="366" t="s">
        <v>18</v>
      </c>
      <c r="U8" s="44"/>
    </row>
    <row r="9" spans="2:21" ht="25.5" x14ac:dyDescent="0.2">
      <c r="B9" s="43"/>
      <c r="C9" s="353" t="s">
        <v>0</v>
      </c>
      <c r="D9" s="354" t="s">
        <v>4</v>
      </c>
      <c r="E9" s="355" t="s">
        <v>233</v>
      </c>
      <c r="F9" s="356" t="s">
        <v>257</v>
      </c>
      <c r="G9" s="367" t="s">
        <v>258</v>
      </c>
      <c r="H9" s="358">
        <v>0</v>
      </c>
      <c r="I9" s="359">
        <v>17122</v>
      </c>
      <c r="J9" s="359">
        <v>0</v>
      </c>
      <c r="K9" s="360">
        <v>0</v>
      </c>
      <c r="L9" s="360">
        <v>0</v>
      </c>
      <c r="M9" s="361">
        <v>0</v>
      </c>
      <c r="N9" s="362">
        <v>5000</v>
      </c>
      <c r="O9" s="363">
        <v>50000</v>
      </c>
      <c r="P9" s="363">
        <v>35000</v>
      </c>
      <c r="Q9" s="363">
        <v>15000</v>
      </c>
      <c r="R9" s="364">
        <v>0</v>
      </c>
      <c r="S9" s="365" t="s">
        <v>29</v>
      </c>
      <c r="T9" s="366" t="s">
        <v>19</v>
      </c>
      <c r="U9" s="44"/>
    </row>
    <row r="10" spans="2:21" ht="15.75" customHeight="1" x14ac:dyDescent="0.2">
      <c r="B10" s="75"/>
      <c r="C10" s="317"/>
      <c r="D10" s="21"/>
      <c r="E10" s="5"/>
      <c r="F10" s="19"/>
      <c r="G10" s="25" t="s">
        <v>23</v>
      </c>
      <c r="H10" s="299">
        <f>SUM(H7:H9)</f>
        <v>95252</v>
      </c>
      <c r="I10" s="300">
        <f t="shared" ref="I10:R10" si="0">SUM(I7:I9)</f>
        <v>17352</v>
      </c>
      <c r="J10" s="300">
        <f t="shared" si="0"/>
        <v>0</v>
      </c>
      <c r="K10" s="301"/>
      <c r="L10" s="301"/>
      <c r="M10" s="302">
        <f t="shared" si="0"/>
        <v>0</v>
      </c>
      <c r="N10" s="2">
        <f t="shared" si="0"/>
        <v>14100</v>
      </c>
      <c r="O10" s="297">
        <f t="shared" si="0"/>
        <v>78500</v>
      </c>
      <c r="P10" s="297">
        <f t="shared" si="0"/>
        <v>36750</v>
      </c>
      <c r="Q10" s="297">
        <f t="shared" si="0"/>
        <v>29250</v>
      </c>
      <c r="R10" s="298">
        <f t="shared" si="0"/>
        <v>12500</v>
      </c>
      <c r="S10" s="3"/>
      <c r="T10" s="318"/>
      <c r="U10" s="76"/>
    </row>
    <row r="11" spans="2:21" ht="57" x14ac:dyDescent="0.2">
      <c r="B11" s="43"/>
      <c r="C11" s="353" t="s">
        <v>216</v>
      </c>
      <c r="D11" s="354" t="s">
        <v>217</v>
      </c>
      <c r="E11" s="355" t="s">
        <v>274</v>
      </c>
      <c r="F11" s="368" t="s">
        <v>256</v>
      </c>
      <c r="G11" s="357">
        <v>42005</v>
      </c>
      <c r="H11" s="358">
        <v>6000</v>
      </c>
      <c r="I11" s="359">
        <v>0</v>
      </c>
      <c r="J11" s="359">
        <v>0</v>
      </c>
      <c r="K11" s="359">
        <v>0</v>
      </c>
      <c r="L11" s="359">
        <v>0</v>
      </c>
      <c r="M11" s="369">
        <v>0</v>
      </c>
      <c r="N11" s="370">
        <v>2500</v>
      </c>
      <c r="O11" s="363">
        <v>5000</v>
      </c>
      <c r="P11" s="363">
        <v>0</v>
      </c>
      <c r="Q11" s="363">
        <v>2500</v>
      </c>
      <c r="R11" s="371">
        <v>2500</v>
      </c>
      <c r="S11" s="365" t="s">
        <v>30</v>
      </c>
      <c r="T11" s="366" t="s">
        <v>20</v>
      </c>
      <c r="U11" s="44"/>
    </row>
    <row r="12" spans="2:21" ht="30" customHeight="1" x14ac:dyDescent="0.2">
      <c r="B12" s="75"/>
      <c r="C12" s="317"/>
      <c r="D12" s="21"/>
      <c r="E12" s="5"/>
      <c r="F12" s="20"/>
      <c r="G12" s="25" t="s">
        <v>24</v>
      </c>
      <c r="H12" s="299">
        <f t="shared" ref="H12:R12" si="1">SUM(H11)</f>
        <v>6000</v>
      </c>
      <c r="I12" s="300">
        <f t="shared" si="1"/>
        <v>0</v>
      </c>
      <c r="J12" s="300">
        <f t="shared" si="1"/>
        <v>0</v>
      </c>
      <c r="K12" s="300">
        <f t="shared" si="1"/>
        <v>0</v>
      </c>
      <c r="L12" s="300">
        <f t="shared" si="1"/>
        <v>0</v>
      </c>
      <c r="M12" s="302">
        <f t="shared" si="1"/>
        <v>0</v>
      </c>
      <c r="N12" s="2">
        <f t="shared" si="1"/>
        <v>2500</v>
      </c>
      <c r="O12" s="297">
        <f t="shared" si="1"/>
        <v>5000</v>
      </c>
      <c r="P12" s="297">
        <f t="shared" si="1"/>
        <v>0</v>
      </c>
      <c r="Q12" s="297">
        <f t="shared" si="1"/>
        <v>2500</v>
      </c>
      <c r="R12" s="298">
        <f t="shared" si="1"/>
        <v>2500</v>
      </c>
      <c r="S12" s="3"/>
      <c r="T12" s="319"/>
      <c r="U12" s="76"/>
    </row>
    <row r="13" spans="2:21" ht="42.75" x14ac:dyDescent="0.2">
      <c r="B13" s="43"/>
      <c r="C13" s="353" t="s">
        <v>5</v>
      </c>
      <c r="D13" s="354" t="s">
        <v>22</v>
      </c>
      <c r="E13" s="355" t="s">
        <v>241</v>
      </c>
      <c r="F13" s="368" t="s">
        <v>255</v>
      </c>
      <c r="G13" s="367" t="s">
        <v>259</v>
      </c>
      <c r="H13" s="358">
        <v>500000</v>
      </c>
      <c r="I13" s="359">
        <v>0</v>
      </c>
      <c r="J13" s="359">
        <v>0</v>
      </c>
      <c r="K13" s="359">
        <v>0</v>
      </c>
      <c r="L13" s="359">
        <v>0</v>
      </c>
      <c r="M13" s="369">
        <v>0</v>
      </c>
      <c r="N13" s="362">
        <v>40000</v>
      </c>
      <c r="O13" s="363">
        <v>200000</v>
      </c>
      <c r="P13" s="363">
        <v>0</v>
      </c>
      <c r="Q13" s="363">
        <v>100000</v>
      </c>
      <c r="R13" s="364">
        <v>100000</v>
      </c>
      <c r="S13" s="365" t="s">
        <v>41</v>
      </c>
      <c r="T13" s="372" t="s">
        <v>32</v>
      </c>
      <c r="U13" s="44"/>
    </row>
    <row r="14" spans="2:21" ht="30" customHeight="1" x14ac:dyDescent="0.2">
      <c r="B14" s="75"/>
      <c r="C14" s="317"/>
      <c r="D14" s="21"/>
      <c r="E14" s="5"/>
      <c r="F14" s="20"/>
      <c r="G14" s="25" t="s">
        <v>25</v>
      </c>
      <c r="H14" s="299">
        <f t="shared" ref="H14:R14" si="2">SUM(H13)</f>
        <v>500000</v>
      </c>
      <c r="I14" s="300">
        <f t="shared" si="2"/>
        <v>0</v>
      </c>
      <c r="J14" s="300">
        <f t="shared" si="2"/>
        <v>0</v>
      </c>
      <c r="K14" s="300">
        <f t="shared" ref="K14:M14" si="3">SUM(K13)</f>
        <v>0</v>
      </c>
      <c r="L14" s="300">
        <f t="shared" si="3"/>
        <v>0</v>
      </c>
      <c r="M14" s="302">
        <f t="shared" si="3"/>
        <v>0</v>
      </c>
      <c r="N14" s="2">
        <f t="shared" si="2"/>
        <v>40000</v>
      </c>
      <c r="O14" s="297">
        <f t="shared" si="2"/>
        <v>200000</v>
      </c>
      <c r="P14" s="297">
        <f t="shared" si="2"/>
        <v>0</v>
      </c>
      <c r="Q14" s="297">
        <f t="shared" si="2"/>
        <v>100000</v>
      </c>
      <c r="R14" s="298">
        <f t="shared" si="2"/>
        <v>100000</v>
      </c>
      <c r="S14" s="3"/>
      <c r="T14" s="319"/>
      <c r="U14" s="76"/>
    </row>
    <row r="15" spans="2:21" ht="57" x14ac:dyDescent="0.2">
      <c r="B15" s="43"/>
      <c r="C15" s="373" t="s">
        <v>42</v>
      </c>
      <c r="D15" s="354" t="s">
        <v>27</v>
      </c>
      <c r="E15" s="355" t="s">
        <v>42</v>
      </c>
      <c r="F15" s="368" t="s">
        <v>255</v>
      </c>
      <c r="G15" s="367" t="s">
        <v>260</v>
      </c>
      <c r="H15" s="358">
        <v>0</v>
      </c>
      <c r="I15" s="374">
        <v>0</v>
      </c>
      <c r="J15" s="359">
        <v>400</v>
      </c>
      <c r="K15" s="359">
        <v>400</v>
      </c>
      <c r="L15" s="359">
        <v>400</v>
      </c>
      <c r="M15" s="369">
        <v>400</v>
      </c>
      <c r="N15" s="375">
        <v>4500</v>
      </c>
      <c r="O15" s="363">
        <v>6000</v>
      </c>
      <c r="P15" s="363">
        <v>0</v>
      </c>
      <c r="Q15" s="363">
        <v>0</v>
      </c>
      <c r="R15" s="376">
        <v>6000</v>
      </c>
      <c r="S15" s="365" t="s">
        <v>31</v>
      </c>
      <c r="T15" s="377" t="s">
        <v>33</v>
      </c>
      <c r="U15" s="44"/>
    </row>
    <row r="16" spans="2:21" ht="71.25" x14ac:dyDescent="0.2">
      <c r="B16" s="43"/>
      <c r="C16" s="373" t="s">
        <v>42</v>
      </c>
      <c r="D16" s="354" t="s">
        <v>28</v>
      </c>
      <c r="E16" s="355" t="s">
        <v>42</v>
      </c>
      <c r="F16" s="368" t="s">
        <v>257</v>
      </c>
      <c r="G16" s="367" t="s">
        <v>258</v>
      </c>
      <c r="H16" s="358">
        <v>0</v>
      </c>
      <c r="I16" s="374">
        <v>0</v>
      </c>
      <c r="J16" s="359">
        <v>260</v>
      </c>
      <c r="K16" s="359">
        <v>260</v>
      </c>
      <c r="L16" s="359">
        <v>260</v>
      </c>
      <c r="M16" s="369">
        <v>260</v>
      </c>
      <c r="N16" s="375">
        <v>900</v>
      </c>
      <c r="O16" s="363">
        <v>6000</v>
      </c>
      <c r="P16" s="363">
        <v>2000</v>
      </c>
      <c r="Q16" s="363">
        <v>0</v>
      </c>
      <c r="R16" s="376">
        <v>4000</v>
      </c>
      <c r="S16" s="365" t="s">
        <v>16</v>
      </c>
      <c r="T16" s="377" t="s">
        <v>21</v>
      </c>
      <c r="U16" s="44"/>
    </row>
    <row r="17" spans="2:21" ht="15.75" customHeight="1" thickBot="1" x14ac:dyDescent="0.25">
      <c r="B17" s="75"/>
      <c r="C17" s="320"/>
      <c r="D17" s="22"/>
      <c r="E17" s="321"/>
      <c r="F17" s="322"/>
      <c r="G17" s="26" t="s">
        <v>26</v>
      </c>
      <c r="H17" s="323">
        <f t="shared" ref="H17:R17" si="4">SUM(H15:H16)</f>
        <v>0</v>
      </c>
      <c r="I17" s="296">
        <f t="shared" si="4"/>
        <v>0</v>
      </c>
      <c r="J17" s="296">
        <f t="shared" si="4"/>
        <v>660</v>
      </c>
      <c r="K17" s="296">
        <f t="shared" ref="K17:M17" si="5">SUM(K15:K16)</f>
        <v>660</v>
      </c>
      <c r="L17" s="296">
        <f t="shared" si="5"/>
        <v>660</v>
      </c>
      <c r="M17" s="324">
        <f t="shared" si="5"/>
        <v>660</v>
      </c>
      <c r="N17" s="325">
        <f t="shared" si="4"/>
        <v>5400</v>
      </c>
      <c r="O17" s="326">
        <f t="shared" si="4"/>
        <v>12000</v>
      </c>
      <c r="P17" s="326">
        <f t="shared" si="4"/>
        <v>2000</v>
      </c>
      <c r="Q17" s="326">
        <f t="shared" si="4"/>
        <v>0</v>
      </c>
      <c r="R17" s="327">
        <f t="shared" si="4"/>
        <v>10000</v>
      </c>
      <c r="S17" s="325"/>
      <c r="T17" s="328"/>
      <c r="U17" s="76"/>
    </row>
    <row r="18" spans="2:21" ht="39.75" customHeight="1" thickBot="1" x14ac:dyDescent="0.25">
      <c r="B18" s="43"/>
      <c r="C18" s="778" t="s">
        <v>6</v>
      </c>
      <c r="D18" s="779"/>
      <c r="E18" s="780"/>
      <c r="F18" s="378"/>
      <c r="G18" s="379"/>
      <c r="H18" s="380">
        <f>H10+H12+H14+H17</f>
        <v>601252</v>
      </c>
      <c r="I18" s="381">
        <f>I10+I12+I14+I17</f>
        <v>17352</v>
      </c>
      <c r="J18" s="382">
        <f t="shared" ref="J18:R18" si="6">J10+J12+J14+J17</f>
        <v>660</v>
      </c>
      <c r="K18" s="382">
        <f t="shared" si="6"/>
        <v>660</v>
      </c>
      <c r="L18" s="382">
        <f t="shared" si="6"/>
        <v>660</v>
      </c>
      <c r="M18" s="383">
        <f t="shared" si="6"/>
        <v>660</v>
      </c>
      <c r="N18" s="384">
        <f t="shared" si="6"/>
        <v>62000</v>
      </c>
      <c r="O18" s="385">
        <f t="shared" si="6"/>
        <v>295500</v>
      </c>
      <c r="P18" s="385">
        <f t="shared" si="6"/>
        <v>38750</v>
      </c>
      <c r="Q18" s="385">
        <f t="shared" si="6"/>
        <v>131750</v>
      </c>
      <c r="R18" s="386">
        <f t="shared" si="6"/>
        <v>125000</v>
      </c>
      <c r="S18" s="4"/>
      <c r="T18" s="309"/>
      <c r="U18" s="44"/>
    </row>
    <row r="19" spans="2:21" ht="39" customHeight="1" thickBot="1" x14ac:dyDescent="0.25">
      <c r="B19" s="43"/>
      <c r="C19" s="775" t="s">
        <v>35</v>
      </c>
      <c r="D19" s="776"/>
      <c r="E19" s="777"/>
      <c r="F19" s="310">
        <f>SUM(H19:M19)</f>
        <v>4790.7598240000007</v>
      </c>
      <c r="G19" s="311"/>
      <c r="H19" s="311">
        <f>H18*0.003412</f>
        <v>2051.4718240000002</v>
      </c>
      <c r="I19" s="312">
        <f>I18*0.139</f>
        <v>2411.9280000000003</v>
      </c>
      <c r="J19" s="313">
        <f>J18*0.124</f>
        <v>81.84</v>
      </c>
      <c r="K19" s="313">
        <f t="shared" ref="K19:M19" si="7">K18*0.124</f>
        <v>81.84</v>
      </c>
      <c r="L19" s="313">
        <f t="shared" si="7"/>
        <v>81.84</v>
      </c>
      <c r="M19" s="314">
        <f t="shared" si="7"/>
        <v>81.84</v>
      </c>
      <c r="N19" s="315"/>
      <c r="O19" s="315"/>
      <c r="P19" s="315"/>
      <c r="Q19" s="315"/>
      <c r="R19" s="315"/>
      <c r="S19" s="1"/>
      <c r="T19" s="309"/>
      <c r="U19" s="44"/>
    </row>
    <row r="20" spans="2:21" ht="15" thickBot="1" x14ac:dyDescent="0.25">
      <c r="B20" s="77"/>
      <c r="C20" s="78"/>
      <c r="D20" s="78"/>
      <c r="E20" s="78"/>
      <c r="F20" s="78"/>
      <c r="G20" s="78"/>
      <c r="H20" s="78"/>
      <c r="I20" s="79"/>
      <c r="J20" s="78"/>
      <c r="K20" s="78"/>
      <c r="L20" s="78"/>
      <c r="M20" s="78"/>
      <c r="N20" s="78"/>
      <c r="O20" s="78"/>
      <c r="P20" s="78"/>
      <c r="Q20" s="78"/>
      <c r="R20" s="78"/>
      <c r="S20" s="80"/>
      <c r="T20" s="78"/>
      <c r="U20" s="81"/>
    </row>
    <row r="21" spans="2:21" x14ac:dyDescent="0.2"/>
  </sheetData>
  <sheetProtection password="CFCB" sheet="1" objects="1" scenarios="1"/>
  <mergeCells count="9">
    <mergeCell ref="C3:E3"/>
    <mergeCell ref="C19:E19"/>
    <mergeCell ref="C18:E18"/>
    <mergeCell ref="N5:R5"/>
    <mergeCell ref="H5:M5"/>
    <mergeCell ref="F5:G5"/>
    <mergeCell ref="C5:E5"/>
    <mergeCell ref="F4:L4"/>
    <mergeCell ref="C4:E4"/>
  </mergeCells>
  <phoneticPr fontId="7" type="noConversion"/>
  <dataValidations count="2">
    <dataValidation type="list" allowBlank="1" showInputMessage="1" showErrorMessage="1" sqref="E7:E17">
      <formula1>ECMs</formula1>
    </dataValidation>
    <dataValidation type="list" allowBlank="1" showInputMessage="1" showErrorMessage="1" sqref="F7:F17">
      <formula1>ECMstatus</formula1>
    </dataValidation>
  </dataValidations>
  <hyperlinks>
    <hyperlink ref="T7" r:id="rId1"/>
    <hyperlink ref="T15" r:id="rId2" display="www.fueleconomy.gov"/>
    <hyperlink ref="T16" r:id="rId3"/>
    <hyperlink ref="C4:E4" location="'Crit 3 - Table 4 ECMs'!A1" display="Click here to return to Table 4"/>
  </hyperlinks>
  <pageMargins left="0.5" right="0.5" top="0.5" bottom="0.5" header="0.5" footer="0"/>
  <pageSetup scale="56" orientation="landscape"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General Instructions </vt:lpstr>
      <vt:lpstr>Crit 1 &amp; 2</vt:lpstr>
      <vt:lpstr>Crit 1 &amp; 2 - Table 1 Sample</vt:lpstr>
      <vt:lpstr>Crit 3 - Overview</vt:lpstr>
      <vt:lpstr>Crit 3 - Yr6 Table  2 Progress</vt:lpstr>
      <vt:lpstr>Crit 3 -Tbl 3 for Non-MEI Users</vt:lpstr>
      <vt:lpstr>Crit 3 - ECMs</vt:lpstr>
      <vt:lpstr>Crit 3 - Table 4 ECMs</vt:lpstr>
      <vt:lpstr>Crit 3 - Tbl 4 ECMs SAMPLE Data</vt:lpstr>
      <vt:lpstr>Crit 3 - Table 5 RE</vt:lpstr>
      <vt:lpstr>Crit 4 - Vehicle Policies</vt:lpstr>
      <vt:lpstr>Crit 4 - Table 6 Vehicle Inv.</vt:lpstr>
      <vt:lpstr>Crit 4 - Table 6 SAMPLE</vt:lpstr>
      <vt:lpstr>Crit 5 - Table 7 </vt:lpstr>
      <vt:lpstr>Other Notes</vt:lpstr>
      <vt:lpstr>RE Guidance</vt:lpstr>
      <vt:lpstr>DOER reference</vt:lpstr>
      <vt:lpstr>Reference</vt:lpstr>
      <vt:lpstr>Sheet1</vt:lpstr>
      <vt:lpstr>ECMs</vt:lpstr>
      <vt:lpstr>ECMstatus</vt:lpstr>
      <vt:lpstr>GalDiesel_MMBTU</vt:lpstr>
      <vt:lpstr>GalFuelOil_MMBTU</vt:lpstr>
      <vt:lpstr>GalGasoline_MMBTU</vt:lpstr>
      <vt:lpstr>GalPropane_MMBTU</vt:lpstr>
      <vt:lpstr>kwh_MMBTU</vt:lpstr>
      <vt:lpstr>ListDriveSystem</vt:lpstr>
      <vt:lpstr>ListExempt</vt:lpstr>
      <vt:lpstr>ListOver8500</vt:lpstr>
      <vt:lpstr>ListStretch</vt:lpstr>
      <vt:lpstr>ListYN</vt:lpstr>
      <vt:lpstr>'Crit 3 - Table 4 ECMs'!Print_Area</vt:lpstr>
      <vt:lpstr>'Crit 3 - Tbl 4 ECMs SAMPLE Data'!Print_Area</vt:lpstr>
      <vt:lpstr>'Crit 3 -Tbl 3 for Non-MEI Users'!Print_Area</vt:lpstr>
      <vt:lpstr>therms_MMBTU</vt:lpstr>
      <vt:lpstr>Years</vt:lpstr>
    </vt:vector>
  </TitlesOfParts>
  <Company>ICF Consulting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ICF</dc:creator>
  <cp:lastModifiedBy>Julie</cp:lastModifiedBy>
  <cp:lastPrinted>2014-08-27T19:09:58Z</cp:lastPrinted>
  <dcterms:created xsi:type="dcterms:W3CDTF">2010-12-13T22:20:26Z</dcterms:created>
  <dcterms:modified xsi:type="dcterms:W3CDTF">2016-09-20T16:46:08Z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ffisync_FolderId">
    <vt:lpwstr/>
  </property>
  <property fmtid="{D5CDD505-2E9C-101B-9397-08002B2CF9AE}" pid="3" name="Offisync_SaveTime">
    <vt:lpwstr/>
  </property>
  <property fmtid="{D5CDD505-2E9C-101B-9397-08002B2CF9AE}" pid="4" name="Offisync_IsSaved">
    <vt:lpwstr>False</vt:lpwstr>
  </property>
  <property fmtid="{D5CDD505-2E9C-101B-9397-08002B2CF9AE}" pid="5" name="Offisync_UniqueId">
    <vt:lpwstr>180849;26504792</vt:lpwstr>
  </property>
  <property fmtid="{D5CDD505-2E9C-101B-9397-08002B2CF9AE}" pid="6" name="CentralDesktop_MDAdded">
    <vt:lpwstr>True</vt:lpwstr>
  </property>
  <property fmtid="{D5CDD505-2E9C-101B-9397-08002B2CF9AE}" pid="7" name="Offisync_FileTitle">
    <vt:lpwstr/>
  </property>
  <property fmtid="{D5CDD505-2E9C-101B-9397-08002B2CF9AE}" pid="8" name="Offisync_UpdateToken">
    <vt:lpwstr>2013-08-29T10:00:37-0400</vt:lpwstr>
  </property>
  <property fmtid="{D5CDD505-2E9C-101B-9397-08002B2CF9AE}" pid="9" name="Offisync_ProviderName">
    <vt:lpwstr>Central Desktop</vt:lpwstr>
  </property>
</Properties>
</file>